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4" activeTab="14"/>
  </bookViews>
  <sheets>
    <sheet name="РЖ любители 100 кг." sheetId="1" r:id="rId1"/>
    <sheet name="РЖ любители 55 кг." sheetId="2" r:id="rId2"/>
    <sheet name="РЖ Проф 55 кг." sheetId="3" r:id="rId3"/>
    <sheet name="Бицепс Профессионалы" sheetId="4" r:id="rId4"/>
    <sheet name="Бицепс Любители" sheetId="5" r:id="rId5"/>
    <sheet name="Проф. народный жим 1_2 вес" sheetId="6" r:id="rId6"/>
    <sheet name="Проф. народный жим 1 вес" sheetId="7" r:id="rId7"/>
    <sheet name="Люб. народный жим 1_2 вес" sheetId="8" r:id="rId8"/>
    <sheet name="Люб. народный жим 1 вес" sheetId="9" r:id="rId9"/>
    <sheet name="ПРО тяга б.э." sheetId="10" r:id="rId10"/>
    <sheet name="Люб. тяга б.э." sheetId="11" r:id="rId11"/>
    <sheet name="ПРО жим софт экип." sheetId="12" r:id="rId12"/>
    <sheet name="Люб. жим софт экип." sheetId="13" r:id="rId13"/>
    <sheet name="ПРО жим б.э." sheetId="14" r:id="rId14"/>
    <sheet name="Люб. жим б.э." sheetId="15" r:id="rId15"/>
    <sheet name="СОВ жим" sheetId="16" r:id="rId16"/>
    <sheet name="Люб. Военный жим" sheetId="17" r:id="rId17"/>
    <sheet name="ПРО ПЛ. б.э." sheetId="18" r:id="rId18"/>
    <sheet name="Люб. ПЛ. б.э." sheetId="19" r:id="rId19"/>
    <sheet name="Русская тяга. Любители." sheetId="20" r:id="rId20"/>
  </sheets>
  <definedNames/>
  <calcPr fullCalcOnLoad="1" refMode="R1C1"/>
</workbook>
</file>

<file path=xl/sharedStrings.xml><?xml version="1.0" encoding="utf-8"?>
<sst xmlns="http://schemas.openxmlformats.org/spreadsheetml/2006/main" count="1542" uniqueCount="493">
  <si>
    <t>ФИО</t>
  </si>
  <si>
    <t>Присед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</si>
  <si>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</si>
  <si>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</si>
  <si>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</si>
  <si>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</si>
  <si>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</si>
  <si>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</si>
  <si>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</si>
  <si>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</si>
  <si>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</si>
  <si>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</si>
  <si>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</si>
  <si>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</si>
  <si>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</si>
  <si>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125</t>
  </si>
  <si>
    <t>Берестнев Владимир</t>
  </si>
  <si>
    <t>1. Берестнев Владимир</t>
  </si>
  <si>
    <t>Мастера 40 - 44 (17.02.1977)/42</t>
  </si>
  <si>
    <t>120,00</t>
  </si>
  <si>
    <t xml:space="preserve">лично </t>
  </si>
  <si>
    <t xml:space="preserve">Липецк/Липецкая область </t>
  </si>
  <si>
    <t>200,0</t>
  </si>
  <si>
    <t>210,0</t>
  </si>
  <si>
    <t>140,0</t>
  </si>
  <si>
    <t>145,0</t>
  </si>
  <si>
    <t>150,0</t>
  </si>
  <si>
    <t>220,0</t>
  </si>
  <si>
    <t>232,5</t>
  </si>
  <si>
    <t xml:space="preserve">Темиев Тимур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</si>
  <si>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</si>
  <si>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</si>
  <si>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</si>
  <si>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</si>
  <si>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</si>
  <si>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</si>
  <si>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</si>
  <si>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</si>
  <si>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</si>
  <si>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</si>
  <si>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</si>
  <si>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</si>
  <si>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</si>
  <si>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40 - 44 </t>
  </si>
  <si>
    <t>125</t>
  </si>
  <si>
    <t>575,0</t>
  </si>
  <si>
    <t>305,7522</t>
  </si>
  <si>
    <t>ВЕСОВАЯ КАТЕГОРИЯ   82.5</t>
  </si>
  <si>
    <t>Корников Максим</t>
  </si>
  <si>
    <t>1. Корников Максим</t>
  </si>
  <si>
    <t>Открытая (14.11.1987)/31</t>
  </si>
  <si>
    <t>82,50</t>
  </si>
  <si>
    <t xml:space="preserve">Липецк </t>
  </si>
  <si>
    <t>190,0</t>
  </si>
  <si>
    <t>160,0</t>
  </si>
  <si>
    <t>230,0</t>
  </si>
  <si>
    <t>250,0</t>
  </si>
  <si>
    <t xml:space="preserve">Григорьев Денис </t>
  </si>
  <si>
    <t xml:space="preserve">Открытая </t>
  </si>
  <si>
    <t>82.5</t>
  </si>
  <si>
    <t>590,0</t>
  </si>
  <si>
    <t>365,3870</t>
  </si>
  <si>
    <t>ВЕСОВАЯ КАТЕГОРИЯ   90</t>
  </si>
  <si>
    <t>Талдыкин Алексей</t>
  </si>
  <si>
    <t>1. Талдыкин Алексей</t>
  </si>
  <si>
    <t>Открытая (29.03.1980)/39</t>
  </si>
  <si>
    <t>90,00</t>
  </si>
  <si>
    <t>155,0</t>
  </si>
  <si>
    <t xml:space="preserve"> </t>
  </si>
  <si>
    <t>ВЕСОВАЯ КАТЕГОРИЯ   110</t>
  </si>
  <si>
    <t>Дорофеев Александр</t>
  </si>
  <si>
    <t>1. Дорофеев Александр</t>
  </si>
  <si>
    <t>Открытая (26.02.1990)/29</t>
  </si>
  <si>
    <t>108,75</t>
  </si>
  <si>
    <t xml:space="preserve">Стальное звено </t>
  </si>
  <si>
    <t xml:space="preserve">Воронеж/Воронежская область </t>
  </si>
  <si>
    <t>165,0</t>
  </si>
  <si>
    <t>Яцевило Алексей</t>
  </si>
  <si>
    <t>2. Яцевило Алексей</t>
  </si>
  <si>
    <t>Открытая (23.09.1979)/39</t>
  </si>
  <si>
    <t>109,10</t>
  </si>
  <si>
    <t xml:space="preserve">Талдыкин Алексей </t>
  </si>
  <si>
    <t>90</t>
  </si>
  <si>
    <t>90,7215</t>
  </si>
  <si>
    <t>110</t>
  </si>
  <si>
    <t>88,7782</t>
  </si>
  <si>
    <t>80,6400</t>
  </si>
  <si>
    <t>Результат</t>
  </si>
  <si>
    <t>ВЕСОВАЯ КАТЕГОРИЯ   60</t>
  </si>
  <si>
    <t>1. Любивый Дмитрий</t>
  </si>
  <si>
    <t>Мастера 40 - 44 (01.02.1976)/43</t>
  </si>
  <si>
    <t>59,10</t>
  </si>
  <si>
    <t>70,0</t>
  </si>
  <si>
    <t>75,0</t>
  </si>
  <si>
    <t>Лосихин Александр</t>
  </si>
  <si>
    <t>1. Лосихин Александр</t>
  </si>
  <si>
    <t>Юноши 18 - 19 (14.12.1999)/19</t>
  </si>
  <si>
    <t>59,20</t>
  </si>
  <si>
    <t>102,5</t>
  </si>
  <si>
    <t>110,0</t>
  </si>
  <si>
    <t xml:space="preserve">Чепец Юрий Палыч </t>
  </si>
  <si>
    <t>ВЕСОВАЯ КАТЕГОРИЯ   67.5</t>
  </si>
  <si>
    <t>Кевеян Эдуард</t>
  </si>
  <si>
    <t>1. Кевеян Эдуард</t>
  </si>
  <si>
    <t>Юноши 14-15 (12.02.2004)/15</t>
  </si>
  <si>
    <t>63,95</t>
  </si>
  <si>
    <t>95,0</t>
  </si>
  <si>
    <t>100,0</t>
  </si>
  <si>
    <t>Стариков Вадим</t>
  </si>
  <si>
    <t>1. Стариков Вадим</t>
  </si>
  <si>
    <t>Юниоры 20 - 23 (22.08.1997)/21</t>
  </si>
  <si>
    <t>66,80</t>
  </si>
  <si>
    <t>105,0</t>
  </si>
  <si>
    <t>Кузнецов Павел</t>
  </si>
  <si>
    <t>1. Кузнецов Павел</t>
  </si>
  <si>
    <t>Открытая (23.08.1990)/28</t>
  </si>
  <si>
    <t>66,25</t>
  </si>
  <si>
    <t>132,5</t>
  </si>
  <si>
    <t>137,5</t>
  </si>
  <si>
    <t>ВЕСОВАЯ КАТЕГОРИЯ   75</t>
  </si>
  <si>
    <t>Затонских Никита</t>
  </si>
  <si>
    <t>1. Затонских Никита</t>
  </si>
  <si>
    <t>Юноши 16 - 17 (24.01.2002)/17</t>
  </si>
  <si>
    <t>71,60</t>
  </si>
  <si>
    <t>130,0</t>
  </si>
  <si>
    <t>135,0</t>
  </si>
  <si>
    <t>-. Меринов Антон</t>
  </si>
  <si>
    <t>Юниоры 20 - 23 (28.04.1999)/20</t>
  </si>
  <si>
    <t>73,75</t>
  </si>
  <si>
    <t>Юршин Дмитрий</t>
  </si>
  <si>
    <t>1. Юршин Дмитрий</t>
  </si>
  <si>
    <t>Юноши 16 - 17 (27.08.2001)/17</t>
  </si>
  <si>
    <t>82,30</t>
  </si>
  <si>
    <t>Михайлов Дмитрий</t>
  </si>
  <si>
    <t>1. Михайлов Дмитрий</t>
  </si>
  <si>
    <t>Открытая (10.08.1988)/30</t>
  </si>
  <si>
    <t>81,90</t>
  </si>
  <si>
    <t xml:space="preserve">Тамбов </t>
  </si>
  <si>
    <t xml:space="preserve">Тамбов/Тамбовская область </t>
  </si>
  <si>
    <t>147,5</t>
  </si>
  <si>
    <t>Юханов Игорь</t>
  </si>
  <si>
    <t>1. Юханов Игорь</t>
  </si>
  <si>
    <t>Мастера 50 - 54 (16.09.1968)/50</t>
  </si>
  <si>
    <t>77,50</t>
  </si>
  <si>
    <t xml:space="preserve">Томилин Михаил </t>
  </si>
  <si>
    <t>-. Юханов Игорь</t>
  </si>
  <si>
    <t>162,5</t>
  </si>
  <si>
    <t>167,5</t>
  </si>
  <si>
    <t>ВЕСОВАЯ КАТЕГОРИЯ   100</t>
  </si>
  <si>
    <t>-. Золотокрылин Леонид</t>
  </si>
  <si>
    <t>Открытая (23.07.1989)/29</t>
  </si>
  <si>
    <t>94,70</t>
  </si>
  <si>
    <t>170,0</t>
  </si>
  <si>
    <t>175,0</t>
  </si>
  <si>
    <t xml:space="preserve">Чепеу Юрий Павлович </t>
  </si>
  <si>
    <t>Швырев Виталий</t>
  </si>
  <si>
    <t>1. Швырев Виталий</t>
  </si>
  <si>
    <t>Мастера 40 - 44 (15.11.1978)/40</t>
  </si>
  <si>
    <t>99,90</t>
  </si>
  <si>
    <t>Зайцев Владимир</t>
  </si>
  <si>
    <t>1. Зайцев Владимир</t>
  </si>
  <si>
    <t>Мастера 45 - 49 (23.04.1971)/48</t>
  </si>
  <si>
    <t>97,20</t>
  </si>
  <si>
    <t>180,0</t>
  </si>
  <si>
    <t>Горбанев Юрий</t>
  </si>
  <si>
    <t>2. Горбанев Юрий</t>
  </si>
  <si>
    <t>Открытая (17.08.1981)/37</t>
  </si>
  <si>
    <t>105,00</t>
  </si>
  <si>
    <t>142,5</t>
  </si>
  <si>
    <t xml:space="preserve">Юноши </t>
  </si>
  <si>
    <t xml:space="preserve">Юноши 16 - 17 </t>
  </si>
  <si>
    <t>75</t>
  </si>
  <si>
    <t>100,5728</t>
  </si>
  <si>
    <t>93,7894</t>
  </si>
  <si>
    <t xml:space="preserve">Юноши 14-15 </t>
  </si>
  <si>
    <t>67.5</t>
  </si>
  <si>
    <t>92,2909</t>
  </si>
  <si>
    <t xml:space="preserve">Юноши 18 - 19 </t>
  </si>
  <si>
    <t>60</t>
  </si>
  <si>
    <t>87,8597</t>
  </si>
  <si>
    <t xml:space="preserve">Юниоры </t>
  </si>
  <si>
    <t xml:space="preserve">Юниоры 20 - 23 </t>
  </si>
  <si>
    <t>78,4722</t>
  </si>
  <si>
    <t>103,3480</t>
  </si>
  <si>
    <t>98,0378</t>
  </si>
  <si>
    <t>94,1587</t>
  </si>
  <si>
    <t>91,8040</t>
  </si>
  <si>
    <t>77,4772</t>
  </si>
  <si>
    <t xml:space="preserve">Мастера 50 - 54 </t>
  </si>
  <si>
    <t>102,5982</t>
  </si>
  <si>
    <t xml:space="preserve">Мастера 45 - 49 </t>
  </si>
  <si>
    <t>100</t>
  </si>
  <si>
    <t>97,1807</t>
  </si>
  <si>
    <t>81,7593</t>
  </si>
  <si>
    <t>Пыткин Максим</t>
  </si>
  <si>
    <t>1. Пыткин Максим</t>
  </si>
  <si>
    <t>Открытая (30.03.1992)/27</t>
  </si>
  <si>
    <t>88,10</t>
  </si>
  <si>
    <t>207,5</t>
  </si>
  <si>
    <t>215,0</t>
  </si>
  <si>
    <t xml:space="preserve">Колохин Павел </t>
  </si>
  <si>
    <t>127,4950</t>
  </si>
  <si>
    <t>-. Юшков Максим</t>
  </si>
  <si>
    <t>Открытая (05.06.1991)/27</t>
  </si>
  <si>
    <t>74,80</t>
  </si>
  <si>
    <t>Попов Александр</t>
  </si>
  <si>
    <t>1. Попов Александр</t>
  </si>
  <si>
    <t>Открытая (07.05.1987)/32</t>
  </si>
  <si>
    <t>88,00</t>
  </si>
  <si>
    <t xml:space="preserve">Мичуринск/Тамбовская область </t>
  </si>
  <si>
    <t>205,0</t>
  </si>
  <si>
    <t>217,5</t>
  </si>
  <si>
    <t>Горбанев Виталий</t>
  </si>
  <si>
    <t>1. Горбанев Виталий</t>
  </si>
  <si>
    <t>Открытая (28.09.1987)/31</t>
  </si>
  <si>
    <t>99,45</t>
  </si>
  <si>
    <t>202,5</t>
  </si>
  <si>
    <t>Кузнецов Евгений</t>
  </si>
  <si>
    <t>1. Кузнецов Евгений</t>
  </si>
  <si>
    <t>Мастера 40 - 44 (22.09.1978)/40</t>
  </si>
  <si>
    <t>99,80</t>
  </si>
  <si>
    <t>Ольховский Александр</t>
  </si>
  <si>
    <t>1. Ольховский Александр</t>
  </si>
  <si>
    <t>Мастера 40 - 44 (25.12.1978)/40</t>
  </si>
  <si>
    <t>104,50</t>
  </si>
  <si>
    <t>260,0</t>
  </si>
  <si>
    <t>270,0</t>
  </si>
  <si>
    <t>280,0</t>
  </si>
  <si>
    <t>121,6675</t>
  </si>
  <si>
    <t>99,9720</t>
  </si>
  <si>
    <t>152,4880</t>
  </si>
  <si>
    <t>116,4450</t>
  </si>
  <si>
    <t>Макарова Елена</t>
  </si>
  <si>
    <t>1. Макарова Елена</t>
  </si>
  <si>
    <t>Мастера 55 - 59 (08.08.1962)/56</t>
  </si>
  <si>
    <t>59,70</t>
  </si>
  <si>
    <t>115,0</t>
  </si>
  <si>
    <t>120,0</t>
  </si>
  <si>
    <t>125,0</t>
  </si>
  <si>
    <t>Маньшин Александр</t>
  </si>
  <si>
    <t>1. Маньшин Александр</t>
  </si>
  <si>
    <t>Мастера 55 - 59 (26.10.1962)/56</t>
  </si>
  <si>
    <t>97,80</t>
  </si>
  <si>
    <t>227,5</t>
  </si>
  <si>
    <t>235,0</t>
  </si>
  <si>
    <t>Василенко Дмитрий</t>
  </si>
  <si>
    <t>1. Василенко Дмитрий</t>
  </si>
  <si>
    <t>Открытая (03.06.1975)/43</t>
  </si>
  <si>
    <t>108,25</t>
  </si>
  <si>
    <t xml:space="preserve">Любера </t>
  </si>
  <si>
    <t xml:space="preserve">Москва </t>
  </si>
  <si>
    <t>320,0</t>
  </si>
  <si>
    <t>342,5</t>
  </si>
  <si>
    <t xml:space="preserve">Кузин Ренат </t>
  </si>
  <si>
    <t>ВЕСОВАЯ КАТЕГОРИЯ   140</t>
  </si>
  <si>
    <t>Ломакин Игорь</t>
  </si>
  <si>
    <t>1. Ломакин Игорь</t>
  </si>
  <si>
    <t>Открытая (14.08.1985)/33</t>
  </si>
  <si>
    <t>134,20</t>
  </si>
  <si>
    <t xml:space="preserve">Женщины </t>
  </si>
  <si>
    <t xml:space="preserve">Мастера 55 - 59 </t>
  </si>
  <si>
    <t>148,3739</t>
  </si>
  <si>
    <t>184,5047</t>
  </si>
  <si>
    <t>160,1100</t>
  </si>
  <si>
    <t>140</t>
  </si>
  <si>
    <t>91,7928</t>
  </si>
  <si>
    <t>188,0872</t>
  </si>
  <si>
    <t>Косенков Николай</t>
  </si>
  <si>
    <t>1. Косенков Николай</t>
  </si>
  <si>
    <t>Открытая (09.03.1989)/30</t>
  </si>
  <si>
    <t>74,70</t>
  </si>
  <si>
    <t>Чистяков Евгений</t>
  </si>
  <si>
    <t>1. Чистяков Евгений</t>
  </si>
  <si>
    <t>Открытая (11.04.1993)/26</t>
  </si>
  <si>
    <t>80,75</t>
  </si>
  <si>
    <t xml:space="preserve">Краснодар/Краснодарский край </t>
  </si>
  <si>
    <t>222,5</t>
  </si>
  <si>
    <t>Коровин Роман</t>
  </si>
  <si>
    <t>2. Коровин Роман</t>
  </si>
  <si>
    <t>Открытая (19.12.1982)/36</t>
  </si>
  <si>
    <t>Алхенди Самер</t>
  </si>
  <si>
    <t>3. Алхенди Самер</t>
  </si>
  <si>
    <t>Открытая (05.11.1992)/26</t>
  </si>
  <si>
    <t>78,20</t>
  </si>
  <si>
    <t>146,6520</t>
  </si>
  <si>
    <t>139,8858</t>
  </si>
  <si>
    <t>130,0530</t>
  </si>
  <si>
    <t>128,7200</t>
  </si>
  <si>
    <t>Волынчиков Юрий</t>
  </si>
  <si>
    <t>1. Волынчиков Юрий</t>
  </si>
  <si>
    <t>Открытая (06.05.1991)/28</t>
  </si>
  <si>
    <t>123,90</t>
  </si>
  <si>
    <t>275,0</t>
  </si>
  <si>
    <t>290,0</t>
  </si>
  <si>
    <t>151,5540</t>
  </si>
  <si>
    <t>НАП Н.Ж.</t>
  </si>
  <si>
    <t>Юдин Сергей</t>
  </si>
  <si>
    <t>1. Юдин Сергей</t>
  </si>
  <si>
    <t>Открытая (05.05.1992)/27</t>
  </si>
  <si>
    <t>71,80</t>
  </si>
  <si>
    <t>72,5</t>
  </si>
  <si>
    <t>31,0</t>
  </si>
  <si>
    <t>-. Юдин Сергей</t>
  </si>
  <si>
    <t>77,5</t>
  </si>
  <si>
    <t>25,0</t>
  </si>
  <si>
    <t>Терновых Игорь</t>
  </si>
  <si>
    <t>1. Терновых Игорь</t>
  </si>
  <si>
    <t>Открытая (09.01.1986)/33</t>
  </si>
  <si>
    <t>93,60</t>
  </si>
  <si>
    <t xml:space="preserve">Грязи/Липецкая область </t>
  </si>
  <si>
    <t>34,0</t>
  </si>
  <si>
    <t>21,0</t>
  </si>
  <si>
    <t xml:space="preserve">Селявкин Дмитрий </t>
  </si>
  <si>
    <t xml:space="preserve">НАП Н.Ж. </t>
  </si>
  <si>
    <t>3230,0</t>
  </si>
  <si>
    <t>2283,9329</t>
  </si>
  <si>
    <t>2247,5</t>
  </si>
  <si>
    <t>1847,6697</t>
  </si>
  <si>
    <t>2310,0</t>
  </si>
  <si>
    <t>1496,4181</t>
  </si>
  <si>
    <t>1937,5</t>
  </si>
  <si>
    <t>1560,0750</t>
  </si>
  <si>
    <t>Жим мн. повт.</t>
  </si>
  <si>
    <t>Вес</t>
  </si>
  <si>
    <t>Повторы</t>
  </si>
  <si>
    <t>Тоннаж</t>
  </si>
  <si>
    <t>ВЕСОВАЯ КАТЕГОРИЯ   52</t>
  </si>
  <si>
    <t>Пономарев Матвей</t>
  </si>
  <si>
    <t>1. Пономарев Матвей</t>
  </si>
  <si>
    <t>Юноши 0-13 (31.01.2013)/6</t>
  </si>
  <si>
    <t>26,90</t>
  </si>
  <si>
    <t>15,0</t>
  </si>
  <si>
    <t>82,0</t>
  </si>
  <si>
    <t xml:space="preserve">Рубцов Сергей </t>
  </si>
  <si>
    <t xml:space="preserve">Юноши 0-13 </t>
  </si>
  <si>
    <t>52</t>
  </si>
  <si>
    <t>1230,0</t>
  </si>
  <si>
    <t>2377,7130</t>
  </si>
  <si>
    <t>Волков Дмитрий</t>
  </si>
  <si>
    <t>1. Волков Дмитрий</t>
  </si>
  <si>
    <t>Открытая (04.05.1982)/37</t>
  </si>
  <si>
    <t>39,0</t>
  </si>
  <si>
    <t>Сошнин Олег</t>
  </si>
  <si>
    <t>1. Сошнин Олег</t>
  </si>
  <si>
    <t>Открытая (12.03.1988)/31</t>
  </si>
  <si>
    <t>89,40</t>
  </si>
  <si>
    <t>90,0</t>
  </si>
  <si>
    <t>38,0</t>
  </si>
  <si>
    <t>Томилин Михаил</t>
  </si>
  <si>
    <t>1. Томилин Михаил</t>
  </si>
  <si>
    <t>Открытая (18.04.1990)/29</t>
  </si>
  <si>
    <t>92,20</t>
  </si>
  <si>
    <t>92,5</t>
  </si>
  <si>
    <t>46,0</t>
  </si>
  <si>
    <t>Струков Владимир</t>
  </si>
  <si>
    <t>2. Струков Владимир</t>
  </si>
  <si>
    <t>Открытая (11.06.1991)/27</t>
  </si>
  <si>
    <t>28,0</t>
  </si>
  <si>
    <t>Кузнецов Александр</t>
  </si>
  <si>
    <t>1. Кузнецов Александр</t>
  </si>
  <si>
    <t>Открытая (30.12.1983)/35</t>
  </si>
  <si>
    <t>111,05</t>
  </si>
  <si>
    <t>112,5</t>
  </si>
  <si>
    <t xml:space="preserve">Беглов Юрий </t>
  </si>
  <si>
    <t>4255,0</t>
  </si>
  <si>
    <t>3054,2391</t>
  </si>
  <si>
    <t>3420,0</t>
  </si>
  <si>
    <t>2457,2701</t>
  </si>
  <si>
    <t>2925,0</t>
  </si>
  <si>
    <t>2341,1701</t>
  </si>
  <si>
    <t>2590,0</t>
  </si>
  <si>
    <t>1804,4529</t>
  </si>
  <si>
    <t>2362,5</t>
  </si>
  <si>
    <t>1659,4201</t>
  </si>
  <si>
    <t>Шишкин Ярослав</t>
  </si>
  <si>
    <t>1. Шишкин Ярослав</t>
  </si>
  <si>
    <t>Юноши 0-13 (05.05.2006)/13</t>
  </si>
  <si>
    <t>49,70</t>
  </si>
  <si>
    <t>18,0</t>
  </si>
  <si>
    <t>450,0</t>
  </si>
  <si>
    <t>470,8350</t>
  </si>
  <si>
    <t>Подъем на бицепс</t>
  </si>
  <si>
    <t>Бородина Божена</t>
  </si>
  <si>
    <t>1. Бородина Божена</t>
  </si>
  <si>
    <t>Юниорки 20 - 23 (03.02.1998)/21</t>
  </si>
  <si>
    <t>51,40</t>
  </si>
  <si>
    <t>37,5</t>
  </si>
  <si>
    <t>Иванов Даниил</t>
  </si>
  <si>
    <t>1. Иванов Даниил</t>
  </si>
  <si>
    <t>Юноши 14-15 (11.08.2003)/15</t>
  </si>
  <si>
    <t>51,80</t>
  </si>
  <si>
    <t>40,0</t>
  </si>
  <si>
    <t>45,0</t>
  </si>
  <si>
    <t>50,0</t>
  </si>
  <si>
    <t>Никонов Владимир</t>
  </si>
  <si>
    <t>1. Никонов Владимир</t>
  </si>
  <si>
    <t>Открытая (06.09.1994)/24</t>
  </si>
  <si>
    <t>67,00</t>
  </si>
  <si>
    <t>47,5</t>
  </si>
  <si>
    <t>Емельянов Евгений</t>
  </si>
  <si>
    <t>1. Емельянов Евгений</t>
  </si>
  <si>
    <t>Юниоры 20 - 23 (27.07.1997)/21</t>
  </si>
  <si>
    <t>62,5</t>
  </si>
  <si>
    <t>65,0</t>
  </si>
  <si>
    <t>2. Алхенди Самер</t>
  </si>
  <si>
    <t>57,5</t>
  </si>
  <si>
    <t>60,0</t>
  </si>
  <si>
    <t>Николюкин Илья</t>
  </si>
  <si>
    <t>3. Николюкин Илья</t>
  </si>
  <si>
    <t>Открытая (13.03.1991)/28</t>
  </si>
  <si>
    <t>80,85</t>
  </si>
  <si>
    <t xml:space="preserve">Титов Илья </t>
  </si>
  <si>
    <t>-. Митин Святослав</t>
  </si>
  <si>
    <t>Открытая (16.08.1989)/29</t>
  </si>
  <si>
    <t>82,20</t>
  </si>
  <si>
    <t>Воронин Руслан</t>
  </si>
  <si>
    <t>1. Воронин Руслан</t>
  </si>
  <si>
    <t>Мастера 45 - 49 (21.05.1974)/45</t>
  </si>
  <si>
    <t>89,20</t>
  </si>
  <si>
    <t>67,5</t>
  </si>
  <si>
    <t xml:space="preserve">Юниорки </t>
  </si>
  <si>
    <t>37,4295</t>
  </si>
  <si>
    <t>56,3922</t>
  </si>
  <si>
    <t>31,7424</t>
  </si>
  <si>
    <t>40,8655</t>
  </si>
  <si>
    <t>38,6160</t>
  </si>
  <si>
    <t>36,1186</t>
  </si>
  <si>
    <t>34,7083</t>
  </si>
  <si>
    <t>31,9355</t>
  </si>
  <si>
    <t>38,5468</t>
  </si>
  <si>
    <t>Комаров Владислав</t>
  </si>
  <si>
    <t>1. Комаров Владислав</t>
  </si>
  <si>
    <t>Мастера 40 - 44 (22.02.1977)/42</t>
  </si>
  <si>
    <t>46,8655</t>
  </si>
  <si>
    <t>Атлетизм</t>
  </si>
  <si>
    <t>ВЕСОВАЯ КАТЕГОРИЯ   All</t>
  </si>
  <si>
    <t>Киян Андрей</t>
  </si>
  <si>
    <t>1. Киян Андрей</t>
  </si>
  <si>
    <t>Мастера 40 - 44 (17.06.1974)/44</t>
  </si>
  <si>
    <t>94,15</t>
  </si>
  <si>
    <t>55,0</t>
  </si>
  <si>
    <t xml:space="preserve">Голованов Александр </t>
  </si>
  <si>
    <t>Рубцов Сергей</t>
  </si>
  <si>
    <t>1. Рубцов Сергей</t>
  </si>
  <si>
    <t>Мастера 55 - 59 (24.06.1961)/57</t>
  </si>
  <si>
    <t>86,65</t>
  </si>
  <si>
    <t>111,0</t>
  </si>
  <si>
    <t xml:space="preserve">Атлетизм </t>
  </si>
  <si>
    <t>All</t>
  </si>
  <si>
    <t>8525,0</t>
  </si>
  <si>
    <t>90,5469</t>
  </si>
  <si>
    <t>6105,0</t>
  </si>
  <si>
    <t>70,4558</t>
  </si>
  <si>
    <t>Санников Александр</t>
  </si>
  <si>
    <t>1. Санников Александр</t>
  </si>
  <si>
    <t>Открытая (24.04.1981)/38</t>
  </si>
  <si>
    <t>89,25</t>
  </si>
  <si>
    <t>62,0</t>
  </si>
  <si>
    <t xml:space="preserve">Сущенко Алексей </t>
  </si>
  <si>
    <t>3410,0</t>
  </si>
  <si>
    <t>38,2072</t>
  </si>
  <si>
    <t>26,0</t>
  </si>
  <si>
    <t>3. Яцевило Алексей</t>
  </si>
  <si>
    <t>22,0</t>
  </si>
  <si>
    <t>2600,0</t>
  </si>
  <si>
    <t>28,8888</t>
  </si>
  <si>
    <t>23,9080</t>
  </si>
  <si>
    <t>2200,0</t>
  </si>
  <si>
    <t>20,1649</t>
  </si>
  <si>
    <t>92,50</t>
  </si>
  <si>
    <t>200</t>
  </si>
  <si>
    <t>2000</t>
  </si>
  <si>
    <t>16,66</t>
  </si>
  <si>
    <t>Кубок России по пауэрлифтингу и силовым видам спорта
Любители Русская становая тяга (200 кг.)
Липецк/Липецкая область 24 мая 2019 г.</t>
  </si>
  <si>
    <t>Кубок России по пауэрлифтингу и силовым видам спорта
Любители пауэрлифтинг без экипировки
Липецк/Липецкая область 24 мая 2019 г.</t>
  </si>
  <si>
    <t>Кубок России по пауэрлифтингу и силовым видам спорта
ПРО пауэрлифтинг без экипировки
Липецк/Липецкая область 24 мая 2019 г.</t>
  </si>
  <si>
    <t>Кубок России по пауэрлифтингу и силовым видам спорта
Любители военный жим
Липецк/Липецкая область 24 мая 2019 г.</t>
  </si>
  <si>
    <t>Кубок России по пауэрлифтингу и силовым видам спорта
СОВ жим лежа
Липецк/Липецкая область 24 мая 2019 г.</t>
  </si>
  <si>
    <t>Кубок России по пауэрлифтингу и силовым видам спорта
Любители жим лежа без экипировки
Липецк/Липецкая область 24 мая 2019 г.</t>
  </si>
  <si>
    <t>Кубок России по пауэрлифтингу и силовым видам спорта
ПРО жим лежа без экипировки
Липецк/Липецкая область 24 мая 2019 г.</t>
  </si>
  <si>
    <t>Кубок России по пауэрлифтингу и силовым видам спорта
Любители жим лежа в софт экипировке
Липецк/Липецкая область 24 мая 2019 г.</t>
  </si>
  <si>
    <t>Кубок России по пауэрлифтингу и силовым видам спорта
ПРО жим лежа в софт экипировке
Липецк/Липецкая область 24 мая 2019 г.</t>
  </si>
  <si>
    <t>Кубок России по пауэрлифтингу и силовым видам спорта
Любители становая тяга без экипировки
Липецк/Липецкая область 24 мая 2019 г.</t>
  </si>
  <si>
    <t>Кубок России по пауэрлифтингу и силовым видам спорта
ПРО становая тяга без экипировки
Липецк/Липецкая область 24 мая 2019 г.</t>
  </si>
  <si>
    <t>Кубок России по Народному жиму
Любители народный жим (1 вес)
Липецк/Липецкая область 24 мая 2019 г.</t>
  </si>
  <si>
    <t>Кубок России по Народному жиму
Любители народный жим (1/2 вес)
Липецк/Липецкая область 24 мая 2019 г.</t>
  </si>
  <si>
    <t>Кубок России по Народному жиму
Профессионалы народный жим (1 вес)
Липецк/Липецкая область 24 мая 2019 г.</t>
  </si>
  <si>
    <t>Кубок России по Народному жиму
Профессионалы народный жим (1/2 вес)
Липецк/Липецкая область 24 мая 2019 г.</t>
  </si>
  <si>
    <t>Кубок России по пауэрспорту
Одиночный подъём штанги на бицепс Любители
Липецк/Липецкая область 24 мая 2019 г.</t>
  </si>
  <si>
    <t>Кубок России по пауэрспорту
Одиночный подъём штанги на бицепс Профессионалы
Липецк/Липецкая область 24 мая 2019 г.</t>
  </si>
  <si>
    <t>Кубок России по Русскому жиму
Русский жим профессионалы 55 кг.
Липецк/Липецкая область 24 мая 2019 г.</t>
  </si>
  <si>
    <t>Кубок России по Русскому жиму
Русский жим любители 55 кг.
Липецк/Липецкая область 24 мая 2019 г.</t>
  </si>
  <si>
    <t>Кубок России по Русскому жиму
Русский жим любители 100 кг.
Липецк/Липецкая область 24 мая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</si>
</sst>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17.875" style="4" bestFit="1" customWidth="1"/>
    <col min="12" max="16384" width="9.125" style="3" customWidth="1"/>
  </cols>
  <sheetData>
    <row r="1" spans="1:11" s="2" customFormat="1" ht="28.5" customHeight="1">
      <c r="A1" s="49" t="s">
        <v>492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434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435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19" t="s">
        <v>64</v>
      </c>
      <c r="B6" s="19" t="s">
        <v>65</v>
      </c>
      <c r="C6" s="19" t="s">
        <v>66</v>
      </c>
      <c r="D6" s="19" t="str">
        <f>"1,0000"</f>
        <v>1,0000</v>
      </c>
      <c r="E6" s="19" t="s">
        <v>52</v>
      </c>
      <c r="F6" s="19" t="s">
        <v>21</v>
      </c>
      <c r="G6" s="21" t="s">
        <v>107</v>
      </c>
      <c r="H6" s="29" t="s">
        <v>461</v>
      </c>
      <c r="I6" s="19" t="str">
        <f>"2600,0"</f>
        <v>2600,0</v>
      </c>
      <c r="J6" s="21" t="str">
        <f>"28,8888"</f>
        <v>28,8888</v>
      </c>
      <c r="K6" s="19" t="s">
        <v>68</v>
      </c>
    </row>
    <row r="7" spans="1:11" ht="12.75">
      <c r="A7" s="25" t="s">
        <v>71</v>
      </c>
      <c r="B7" s="25" t="s">
        <v>72</v>
      </c>
      <c r="C7" s="25" t="s">
        <v>73</v>
      </c>
      <c r="D7" s="25" t="str">
        <f>"1,0000"</f>
        <v>1,0000</v>
      </c>
      <c r="E7" s="25" t="s">
        <v>74</v>
      </c>
      <c r="F7" s="25" t="s">
        <v>75</v>
      </c>
      <c r="G7" s="27" t="s">
        <v>107</v>
      </c>
      <c r="H7" s="33" t="s">
        <v>461</v>
      </c>
      <c r="I7" s="25" t="str">
        <f>"2600,0"</f>
        <v>2600,0</v>
      </c>
      <c r="J7" s="27" t="str">
        <f>"23,9080"</f>
        <v>23,9080</v>
      </c>
      <c r="K7" s="25" t="s">
        <v>68</v>
      </c>
    </row>
    <row r="8" spans="1:11" ht="12.75">
      <c r="A8" s="22" t="s">
        <v>462</v>
      </c>
      <c r="B8" s="22" t="s">
        <v>79</v>
      </c>
      <c r="C8" s="22" t="s">
        <v>80</v>
      </c>
      <c r="D8" s="22" t="str">
        <f>"1,0000"</f>
        <v>1,0000</v>
      </c>
      <c r="E8" s="22" t="s">
        <v>20</v>
      </c>
      <c r="F8" s="22" t="s">
        <v>21</v>
      </c>
      <c r="G8" s="24" t="s">
        <v>107</v>
      </c>
      <c r="H8" s="30" t="s">
        <v>463</v>
      </c>
      <c r="I8" s="22" t="str">
        <f>"2200,0"</f>
        <v>2200,0</v>
      </c>
      <c r="J8" s="24" t="str">
        <f>"20,1649"</f>
        <v>20,1649</v>
      </c>
      <c r="K8" s="22" t="s">
        <v>81</v>
      </c>
    </row>
    <row r="10" ht="15">
      <c r="E10" s="10" t="s">
        <v>30</v>
      </c>
    </row>
    <row r="11" ht="15">
      <c r="E11" s="10" t="s">
        <v>31</v>
      </c>
    </row>
    <row r="12" ht="15">
      <c r="E12" s="10" t="s">
        <v>32</v>
      </c>
    </row>
    <row r="13" ht="15">
      <c r="E13" s="10" t="s">
        <v>33</v>
      </c>
    </row>
    <row r="14" ht="15">
      <c r="E14" s="10" t="s">
        <v>33</v>
      </c>
    </row>
    <row r="15" ht="15">
      <c r="E15" s="10" t="s">
        <v>34</v>
      </c>
    </row>
    <row r="16" ht="15">
      <c r="E16" s="10"/>
    </row>
    <row r="18" spans="1:2" ht="18">
      <c r="A18" s="11" t="s">
        <v>35</v>
      </c>
      <c r="B18" s="11"/>
    </row>
    <row r="19" spans="1:2" ht="15">
      <c r="A19" s="12" t="s">
        <v>36</v>
      </c>
      <c r="B19" s="12"/>
    </row>
    <row r="20" spans="1:2" ht="14.25">
      <c r="A20" s="14"/>
      <c r="B20" s="15" t="s">
        <v>58</v>
      </c>
    </row>
    <row r="21" spans="1:5" ht="15">
      <c r="A21" s="17" t="s">
        <v>38</v>
      </c>
      <c r="B21" s="17" t="s">
        <v>39</v>
      </c>
      <c r="C21" s="17" t="s">
        <v>40</v>
      </c>
      <c r="D21" s="17" t="s">
        <v>41</v>
      </c>
      <c r="E21" s="17" t="s">
        <v>447</v>
      </c>
    </row>
    <row r="22" spans="1:5" ht="12.75">
      <c r="A22" s="13" t="s">
        <v>63</v>
      </c>
      <c r="B22" s="4" t="s">
        <v>58</v>
      </c>
      <c r="C22" s="4" t="s">
        <v>448</v>
      </c>
      <c r="D22" s="4" t="s">
        <v>464</v>
      </c>
      <c r="E22" s="18" t="s">
        <v>465</v>
      </c>
    </row>
    <row r="23" spans="1:5" ht="12.75">
      <c r="A23" s="13" t="s">
        <v>70</v>
      </c>
      <c r="B23" s="4" t="s">
        <v>58</v>
      </c>
      <c r="C23" s="4" t="s">
        <v>448</v>
      </c>
      <c r="D23" s="4" t="s">
        <v>464</v>
      </c>
      <c r="E23" s="18" t="s">
        <v>466</v>
      </c>
    </row>
    <row r="24" spans="1:5" ht="12.75">
      <c r="A24" s="13" t="s">
        <v>77</v>
      </c>
      <c r="B24" s="4" t="s">
        <v>58</v>
      </c>
      <c r="C24" s="4" t="s">
        <v>448</v>
      </c>
      <c r="D24" s="4" t="s">
        <v>467</v>
      </c>
      <c r="E24" s="18" t="s">
        <v>468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9" t="s">
        <v>483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14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289</v>
      </c>
      <c r="B6" s="7" t="s">
        <v>290</v>
      </c>
      <c r="C6" s="7" t="s">
        <v>291</v>
      </c>
      <c r="D6" s="7" t="str">
        <f>"0,5226"</f>
        <v>0,5226</v>
      </c>
      <c r="E6" s="7" t="s">
        <v>52</v>
      </c>
      <c r="F6" s="7" t="s">
        <v>21</v>
      </c>
      <c r="G6" s="8" t="s">
        <v>225</v>
      </c>
      <c r="H6" s="8" t="s">
        <v>292</v>
      </c>
      <c r="I6" s="8" t="s">
        <v>293</v>
      </c>
      <c r="J6" s="9"/>
      <c r="K6" s="7" t="str">
        <f>"290,0"</f>
        <v>290,0</v>
      </c>
      <c r="L6" s="8" t="str">
        <f>"151,5540"</f>
        <v>151,5540</v>
      </c>
      <c r="M6" s="7" t="s">
        <v>57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58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</row>
    <row r="20" spans="1:5" ht="12.75">
      <c r="A20" s="13" t="s">
        <v>288</v>
      </c>
      <c r="B20" s="4" t="s">
        <v>58</v>
      </c>
      <c r="C20" s="4" t="s">
        <v>44</v>
      </c>
      <c r="D20" s="4" t="s">
        <v>293</v>
      </c>
      <c r="E20" s="18" t="s">
        <v>294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9" t="s">
        <v>482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14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119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268</v>
      </c>
      <c r="B6" s="7" t="s">
        <v>269</v>
      </c>
      <c r="C6" s="7" t="s">
        <v>270</v>
      </c>
      <c r="D6" s="7" t="str">
        <f>"0,6666"</f>
        <v>0,6666</v>
      </c>
      <c r="E6" s="7" t="s">
        <v>137</v>
      </c>
      <c r="F6" s="7" t="s">
        <v>209</v>
      </c>
      <c r="G6" s="8" t="s">
        <v>22</v>
      </c>
      <c r="H6" s="8" t="s">
        <v>27</v>
      </c>
      <c r="I6" s="9" t="s">
        <v>244</v>
      </c>
      <c r="J6" s="9"/>
      <c r="K6" s="7" t="str">
        <f>"220,0"</f>
        <v>220,0</v>
      </c>
      <c r="L6" s="8" t="str">
        <f>"146,6520"</f>
        <v>146,6520</v>
      </c>
      <c r="M6" s="7" t="s">
        <v>57</v>
      </c>
    </row>
    <row r="8" spans="1:12" ht="15">
      <c r="A8" s="58" t="s">
        <v>47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19" t="s">
        <v>272</v>
      </c>
      <c r="B9" s="19" t="s">
        <v>273</v>
      </c>
      <c r="C9" s="19" t="s">
        <v>274</v>
      </c>
      <c r="D9" s="19" t="str">
        <f>"0,6287"</f>
        <v>0,6287</v>
      </c>
      <c r="E9" s="19" t="s">
        <v>52</v>
      </c>
      <c r="F9" s="19" t="s">
        <v>275</v>
      </c>
      <c r="G9" s="21" t="s">
        <v>210</v>
      </c>
      <c r="H9" s="21" t="s">
        <v>276</v>
      </c>
      <c r="I9" s="20"/>
      <c r="J9" s="20"/>
      <c r="K9" s="19" t="str">
        <f>"222,5"</f>
        <v>222,5</v>
      </c>
      <c r="L9" s="21" t="str">
        <f>"139,8858"</f>
        <v>139,8858</v>
      </c>
      <c r="M9" s="19" t="s">
        <v>68</v>
      </c>
    </row>
    <row r="10" spans="1:13" ht="12.75">
      <c r="A10" s="25" t="s">
        <v>278</v>
      </c>
      <c r="B10" s="25" t="s">
        <v>279</v>
      </c>
      <c r="C10" s="25" t="s">
        <v>51</v>
      </c>
      <c r="D10" s="25" t="str">
        <f>"0,6193"</f>
        <v>0,6193</v>
      </c>
      <c r="E10" s="25" t="s">
        <v>52</v>
      </c>
      <c r="F10" s="25" t="s">
        <v>21</v>
      </c>
      <c r="G10" s="27" t="s">
        <v>23</v>
      </c>
      <c r="H10" s="26" t="s">
        <v>211</v>
      </c>
      <c r="I10" s="26" t="s">
        <v>211</v>
      </c>
      <c r="J10" s="26"/>
      <c r="K10" s="25" t="str">
        <f>"210,0"</f>
        <v>210,0</v>
      </c>
      <c r="L10" s="27" t="str">
        <f>"130,0530"</f>
        <v>130,0530</v>
      </c>
      <c r="M10" s="25" t="s">
        <v>57</v>
      </c>
    </row>
    <row r="11" spans="1:13" ht="12.75">
      <c r="A11" s="22" t="s">
        <v>281</v>
      </c>
      <c r="B11" s="22" t="s">
        <v>282</v>
      </c>
      <c r="C11" s="22" t="s">
        <v>283</v>
      </c>
      <c r="D11" s="22" t="str">
        <f>"0,6436"</f>
        <v>0,6436</v>
      </c>
      <c r="E11" s="22" t="s">
        <v>74</v>
      </c>
      <c r="F11" s="22" t="s">
        <v>75</v>
      </c>
      <c r="G11" s="24" t="s">
        <v>53</v>
      </c>
      <c r="H11" s="23" t="s">
        <v>22</v>
      </c>
      <c r="I11" s="24" t="s">
        <v>22</v>
      </c>
      <c r="J11" s="23"/>
      <c r="K11" s="22" t="str">
        <f>"200,0"</f>
        <v>200,0</v>
      </c>
      <c r="L11" s="24" t="str">
        <f>"128,7200"</f>
        <v>128,7200</v>
      </c>
      <c r="M11" s="22" t="s">
        <v>57</v>
      </c>
    </row>
    <row r="13" ht="15">
      <c r="E13" s="10" t="s">
        <v>30</v>
      </c>
    </row>
    <row r="14" ht="15">
      <c r="E14" s="10" t="s">
        <v>31</v>
      </c>
    </row>
    <row r="15" ht="15">
      <c r="E15" s="10" t="s">
        <v>32</v>
      </c>
    </row>
    <row r="16" ht="15">
      <c r="E16" s="10" t="s">
        <v>33</v>
      </c>
    </row>
    <row r="17" ht="15">
      <c r="E17" s="10" t="s">
        <v>33</v>
      </c>
    </row>
    <row r="18" ht="15">
      <c r="E18" s="10" t="s">
        <v>34</v>
      </c>
    </row>
    <row r="19" ht="15">
      <c r="E19" s="10"/>
    </row>
    <row r="21" spans="1:2" ht="18">
      <c r="A21" s="11" t="s">
        <v>35</v>
      </c>
      <c r="B21" s="11"/>
    </row>
    <row r="22" spans="1:2" ht="15">
      <c r="A22" s="12" t="s">
        <v>36</v>
      </c>
      <c r="B22" s="12"/>
    </row>
    <row r="23" spans="1:2" ht="14.25">
      <c r="A23" s="14"/>
      <c r="B23" s="15" t="s">
        <v>58</v>
      </c>
    </row>
    <row r="24" spans="1:5" ht="15">
      <c r="A24" s="17" t="s">
        <v>38</v>
      </c>
      <c r="B24" s="17" t="s">
        <v>39</v>
      </c>
      <c r="C24" s="17" t="s">
        <v>40</v>
      </c>
      <c r="D24" s="17" t="s">
        <v>41</v>
      </c>
      <c r="E24" s="17" t="s">
        <v>42</v>
      </c>
    </row>
    <row r="25" spans="1:5" ht="12.75">
      <c r="A25" s="13" t="s">
        <v>267</v>
      </c>
      <c r="B25" s="4" t="s">
        <v>58</v>
      </c>
      <c r="C25" s="4" t="s">
        <v>171</v>
      </c>
      <c r="D25" s="4" t="s">
        <v>27</v>
      </c>
      <c r="E25" s="18" t="s">
        <v>284</v>
      </c>
    </row>
    <row r="26" spans="1:5" ht="12.75">
      <c r="A26" s="13" t="s">
        <v>271</v>
      </c>
      <c r="B26" s="4" t="s">
        <v>58</v>
      </c>
      <c r="C26" s="4" t="s">
        <v>59</v>
      </c>
      <c r="D26" s="4" t="s">
        <v>276</v>
      </c>
      <c r="E26" s="18" t="s">
        <v>285</v>
      </c>
    </row>
    <row r="27" spans="1:5" ht="12.75">
      <c r="A27" s="13" t="s">
        <v>277</v>
      </c>
      <c r="B27" s="4" t="s">
        <v>58</v>
      </c>
      <c r="C27" s="4" t="s">
        <v>59</v>
      </c>
      <c r="D27" s="4" t="s">
        <v>23</v>
      </c>
      <c r="E27" s="18" t="s">
        <v>286</v>
      </c>
    </row>
    <row r="28" spans="1:5" ht="12.75">
      <c r="A28" s="13" t="s">
        <v>280</v>
      </c>
      <c r="B28" s="4" t="s">
        <v>58</v>
      </c>
      <c r="C28" s="4" t="s">
        <v>59</v>
      </c>
      <c r="D28" s="4" t="s">
        <v>22</v>
      </c>
      <c r="E28" s="18" t="s">
        <v>287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9" t="s">
        <v>481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13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233</v>
      </c>
      <c r="B6" s="7" t="s">
        <v>234</v>
      </c>
      <c r="C6" s="7" t="s">
        <v>235</v>
      </c>
      <c r="D6" s="7" t="str">
        <f>"0,8647"</f>
        <v>0,8647</v>
      </c>
      <c r="E6" s="7" t="s">
        <v>52</v>
      </c>
      <c r="F6" s="7" t="s">
        <v>21</v>
      </c>
      <c r="G6" s="8" t="s">
        <v>236</v>
      </c>
      <c r="H6" s="8" t="s">
        <v>237</v>
      </c>
      <c r="I6" s="9" t="s">
        <v>238</v>
      </c>
      <c r="J6" s="9"/>
      <c r="K6" s="7" t="str">
        <f>"120,0"</f>
        <v>120,0</v>
      </c>
      <c r="L6" s="8" t="str">
        <f>"148,3739"</f>
        <v>148,3739</v>
      </c>
      <c r="M6" s="7" t="s">
        <v>57</v>
      </c>
    </row>
    <row r="8" spans="1:12" ht="15">
      <c r="A8" s="58" t="s">
        <v>62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195</v>
      </c>
      <c r="B9" s="7" t="s">
        <v>196</v>
      </c>
      <c r="C9" s="7" t="s">
        <v>197</v>
      </c>
      <c r="D9" s="7" t="str">
        <f>"0,5930"</f>
        <v>0,5930</v>
      </c>
      <c r="E9" s="7" t="s">
        <v>52</v>
      </c>
      <c r="F9" s="7" t="s">
        <v>21</v>
      </c>
      <c r="G9" s="8" t="s">
        <v>56</v>
      </c>
      <c r="H9" s="8" t="s">
        <v>225</v>
      </c>
      <c r="I9" s="8" t="s">
        <v>226</v>
      </c>
      <c r="J9" s="9"/>
      <c r="K9" s="7" t="str">
        <f>"270,0"</f>
        <v>270,0</v>
      </c>
      <c r="L9" s="8" t="str">
        <f>"160,1100"</f>
        <v>160,1100</v>
      </c>
      <c r="M9" s="7" t="s">
        <v>57</v>
      </c>
    </row>
    <row r="11" spans="1:12" ht="15">
      <c r="A11" s="58" t="s">
        <v>148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240</v>
      </c>
      <c r="B12" s="7" t="s">
        <v>241</v>
      </c>
      <c r="C12" s="7" t="s">
        <v>242</v>
      </c>
      <c r="D12" s="7" t="str">
        <f>"0,5597"</f>
        <v>0,5597</v>
      </c>
      <c r="E12" s="7" t="s">
        <v>52</v>
      </c>
      <c r="F12" s="7" t="s">
        <v>21</v>
      </c>
      <c r="G12" s="8" t="s">
        <v>27</v>
      </c>
      <c r="H12" s="8" t="s">
        <v>243</v>
      </c>
      <c r="I12" s="8" t="s">
        <v>244</v>
      </c>
      <c r="J12" s="9"/>
      <c r="K12" s="7" t="str">
        <f>"235,0"</f>
        <v>235,0</v>
      </c>
      <c r="L12" s="8" t="str">
        <f>"188,0872"</f>
        <v>188,0872</v>
      </c>
      <c r="M12" s="7" t="s">
        <v>57</v>
      </c>
    </row>
    <row r="14" spans="1:12" ht="15">
      <c r="A14" s="58" t="s">
        <v>69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7" t="s">
        <v>246</v>
      </c>
      <c r="B15" s="7" t="s">
        <v>247</v>
      </c>
      <c r="C15" s="7" t="s">
        <v>248</v>
      </c>
      <c r="D15" s="7" t="str">
        <f>"0,5387"</f>
        <v>0,5387</v>
      </c>
      <c r="E15" s="7" t="s">
        <v>249</v>
      </c>
      <c r="F15" s="7" t="s">
        <v>250</v>
      </c>
      <c r="G15" s="8" t="s">
        <v>251</v>
      </c>
      <c r="H15" s="9" t="s">
        <v>252</v>
      </c>
      <c r="I15" s="8" t="s">
        <v>252</v>
      </c>
      <c r="J15" s="9"/>
      <c r="K15" s="7" t="str">
        <f>"342,5"</f>
        <v>342,5</v>
      </c>
      <c r="L15" s="8" t="str">
        <f>"184,5047"</f>
        <v>184,5047</v>
      </c>
      <c r="M15" s="7" t="s">
        <v>253</v>
      </c>
    </row>
    <row r="17" spans="1:12" ht="15">
      <c r="A17" s="58" t="s">
        <v>254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 ht="12.75">
      <c r="A18" s="7" t="s">
        <v>256</v>
      </c>
      <c r="B18" s="7" t="s">
        <v>257</v>
      </c>
      <c r="C18" s="7" t="s">
        <v>258</v>
      </c>
      <c r="D18" s="7" t="str">
        <f>"0,5100"</f>
        <v>0,5100</v>
      </c>
      <c r="E18" s="7" t="s">
        <v>52</v>
      </c>
      <c r="F18" s="7" t="s">
        <v>21</v>
      </c>
      <c r="G18" s="8" t="s">
        <v>152</v>
      </c>
      <c r="H18" s="8" t="s">
        <v>163</v>
      </c>
      <c r="I18" s="9" t="s">
        <v>53</v>
      </c>
      <c r="J18" s="9"/>
      <c r="K18" s="7" t="str">
        <f>"180,0"</f>
        <v>180,0</v>
      </c>
      <c r="L18" s="8" t="str">
        <f>"91,7928"</f>
        <v>91,7928</v>
      </c>
      <c r="M18" s="7" t="s">
        <v>68</v>
      </c>
    </row>
    <row r="20" ht="15">
      <c r="E20" s="10" t="s">
        <v>30</v>
      </c>
    </row>
    <row r="21" ht="15">
      <c r="E21" s="10" t="s">
        <v>31</v>
      </c>
    </row>
    <row r="22" ht="15">
      <c r="E22" s="10" t="s">
        <v>32</v>
      </c>
    </row>
    <row r="23" ht="15">
      <c r="E23" s="10" t="s">
        <v>33</v>
      </c>
    </row>
    <row r="24" ht="15">
      <c r="E24" s="10" t="s">
        <v>33</v>
      </c>
    </row>
    <row r="25" ht="15">
      <c r="E25" s="10" t="s">
        <v>34</v>
      </c>
    </row>
    <row r="26" ht="15">
      <c r="E26" s="10"/>
    </row>
    <row r="28" spans="1:2" ht="18">
      <c r="A28" s="11" t="s">
        <v>35</v>
      </c>
      <c r="B28" s="11"/>
    </row>
    <row r="29" spans="1:2" ht="15">
      <c r="A29" s="12" t="s">
        <v>259</v>
      </c>
      <c r="B29" s="12"/>
    </row>
    <row r="30" spans="1:2" ht="14.25">
      <c r="A30" s="14"/>
      <c r="B30" s="15" t="s">
        <v>37</v>
      </c>
    </row>
    <row r="31" spans="1:5" ht="15">
      <c r="A31" s="17" t="s">
        <v>38</v>
      </c>
      <c r="B31" s="17" t="s">
        <v>39</v>
      </c>
      <c r="C31" s="17" t="s">
        <v>40</v>
      </c>
      <c r="D31" s="17" t="s">
        <v>41</v>
      </c>
      <c r="E31" s="17" t="s">
        <v>42</v>
      </c>
    </row>
    <row r="32" spans="1:5" ht="12.75">
      <c r="A32" s="13" t="s">
        <v>232</v>
      </c>
      <c r="B32" s="4" t="s">
        <v>260</v>
      </c>
      <c r="C32" s="4" t="s">
        <v>178</v>
      </c>
      <c r="D32" s="4" t="s">
        <v>237</v>
      </c>
      <c r="E32" s="18" t="s">
        <v>261</v>
      </c>
    </row>
    <row r="35" spans="1:2" ht="15">
      <c r="A35" s="12" t="s">
        <v>36</v>
      </c>
      <c r="B35" s="12"/>
    </row>
    <row r="36" spans="1:2" ht="14.25">
      <c r="A36" s="14"/>
      <c r="B36" s="15" t="s">
        <v>58</v>
      </c>
    </row>
    <row r="37" spans="1:5" ht="15">
      <c r="A37" s="17" t="s">
        <v>38</v>
      </c>
      <c r="B37" s="17" t="s">
        <v>39</v>
      </c>
      <c r="C37" s="17" t="s">
        <v>40</v>
      </c>
      <c r="D37" s="17" t="s">
        <v>41</v>
      </c>
      <c r="E37" s="17" t="s">
        <v>42</v>
      </c>
    </row>
    <row r="38" spans="1:5" ht="12.75">
      <c r="A38" s="13" t="s">
        <v>245</v>
      </c>
      <c r="B38" s="4" t="s">
        <v>58</v>
      </c>
      <c r="C38" s="4" t="s">
        <v>84</v>
      </c>
      <c r="D38" s="4" t="s">
        <v>252</v>
      </c>
      <c r="E38" s="18" t="s">
        <v>262</v>
      </c>
    </row>
    <row r="39" spans="1:5" ht="12.75">
      <c r="A39" s="13" t="s">
        <v>194</v>
      </c>
      <c r="B39" s="4" t="s">
        <v>58</v>
      </c>
      <c r="C39" s="4" t="s">
        <v>82</v>
      </c>
      <c r="D39" s="4" t="s">
        <v>226</v>
      </c>
      <c r="E39" s="18" t="s">
        <v>263</v>
      </c>
    </row>
    <row r="40" spans="1:5" ht="12.75">
      <c r="A40" s="13" t="s">
        <v>255</v>
      </c>
      <c r="B40" s="4" t="s">
        <v>58</v>
      </c>
      <c r="C40" s="4" t="s">
        <v>264</v>
      </c>
      <c r="D40" s="4" t="s">
        <v>163</v>
      </c>
      <c r="E40" s="18" t="s">
        <v>265</v>
      </c>
    </row>
    <row r="42" spans="1:2" ht="14.25">
      <c r="A42" s="14"/>
      <c r="B42" s="15" t="s">
        <v>37</v>
      </c>
    </row>
    <row r="43" spans="1:5" ht="15">
      <c r="A43" s="17" t="s">
        <v>38</v>
      </c>
      <c r="B43" s="17" t="s">
        <v>39</v>
      </c>
      <c r="C43" s="17" t="s">
        <v>40</v>
      </c>
      <c r="D43" s="17" t="s">
        <v>41</v>
      </c>
      <c r="E43" s="17" t="s">
        <v>42</v>
      </c>
    </row>
    <row r="44" spans="1:5" ht="12.75">
      <c r="A44" s="13" t="s">
        <v>239</v>
      </c>
      <c r="B44" s="4" t="s">
        <v>260</v>
      </c>
      <c r="C44" s="4" t="s">
        <v>191</v>
      </c>
      <c r="D44" s="4" t="s">
        <v>244</v>
      </c>
      <c r="E44" s="18" t="s">
        <v>266</v>
      </c>
    </row>
  </sheetData>
  <sheetProtection/>
  <mergeCells count="16">
    <mergeCell ref="A14:L14"/>
    <mergeCell ref="A17:L1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9" t="s">
        <v>480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13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119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202</v>
      </c>
      <c r="B6" s="7" t="s">
        <v>203</v>
      </c>
      <c r="C6" s="7" t="s">
        <v>204</v>
      </c>
      <c r="D6" s="7" t="str">
        <f>"0,6659"</f>
        <v>0,6659</v>
      </c>
      <c r="E6" s="7" t="s">
        <v>52</v>
      </c>
      <c r="F6" s="7" t="s">
        <v>21</v>
      </c>
      <c r="G6" s="9" t="s">
        <v>27</v>
      </c>
      <c r="H6" s="9" t="s">
        <v>27</v>
      </c>
      <c r="I6" s="9" t="s">
        <v>27</v>
      </c>
      <c r="J6" s="9"/>
      <c r="K6" s="7" t="str">
        <f>"0.00"</f>
        <v>0.00</v>
      </c>
      <c r="L6" s="8" t="str">
        <f>"0,0000"</f>
        <v>0,0000</v>
      </c>
      <c r="M6" s="7" t="s">
        <v>57</v>
      </c>
    </row>
    <row r="8" spans="1:12" ht="15">
      <c r="A8" s="58" t="s">
        <v>62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206</v>
      </c>
      <c r="B9" s="7" t="s">
        <v>207</v>
      </c>
      <c r="C9" s="7" t="s">
        <v>208</v>
      </c>
      <c r="D9" s="7" t="str">
        <f>"0,5935"</f>
        <v>0,5935</v>
      </c>
      <c r="E9" s="7" t="s">
        <v>137</v>
      </c>
      <c r="F9" s="7" t="s">
        <v>209</v>
      </c>
      <c r="G9" s="8" t="s">
        <v>53</v>
      </c>
      <c r="H9" s="8" t="s">
        <v>210</v>
      </c>
      <c r="I9" s="9" t="s">
        <v>211</v>
      </c>
      <c r="J9" s="9"/>
      <c r="K9" s="7" t="str">
        <f>"205,0"</f>
        <v>205,0</v>
      </c>
      <c r="L9" s="8" t="str">
        <f>"121,6675"</f>
        <v>121,6675</v>
      </c>
      <c r="M9" s="7" t="s">
        <v>57</v>
      </c>
    </row>
    <row r="11" spans="1:12" ht="15">
      <c r="A11" s="58" t="s">
        <v>148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19" t="s">
        <v>213</v>
      </c>
      <c r="B12" s="19" t="s">
        <v>214</v>
      </c>
      <c r="C12" s="19" t="s">
        <v>215</v>
      </c>
      <c r="D12" s="19" t="str">
        <f>"0,5554"</f>
        <v>0,5554</v>
      </c>
      <c r="E12" s="19" t="s">
        <v>20</v>
      </c>
      <c r="F12" s="19" t="s">
        <v>75</v>
      </c>
      <c r="G12" s="20" t="s">
        <v>163</v>
      </c>
      <c r="H12" s="21" t="s">
        <v>163</v>
      </c>
      <c r="I12" s="20" t="s">
        <v>216</v>
      </c>
      <c r="J12" s="20"/>
      <c r="K12" s="19" t="str">
        <f>"180,0"</f>
        <v>180,0</v>
      </c>
      <c r="L12" s="21" t="str">
        <f>"99,9720"</f>
        <v>99,9720</v>
      </c>
      <c r="M12" s="19" t="s">
        <v>68</v>
      </c>
    </row>
    <row r="13" spans="1:13" ht="12.75">
      <c r="A13" s="22" t="s">
        <v>218</v>
      </c>
      <c r="B13" s="22" t="s">
        <v>219</v>
      </c>
      <c r="C13" s="22" t="s">
        <v>220</v>
      </c>
      <c r="D13" s="22" t="str">
        <f>"0,5545"</f>
        <v>0,5545</v>
      </c>
      <c r="E13" s="22" t="s">
        <v>52</v>
      </c>
      <c r="F13" s="22" t="s">
        <v>21</v>
      </c>
      <c r="G13" s="24" t="s">
        <v>22</v>
      </c>
      <c r="H13" s="23" t="s">
        <v>23</v>
      </c>
      <c r="I13" s="24" t="s">
        <v>23</v>
      </c>
      <c r="J13" s="23"/>
      <c r="K13" s="22" t="str">
        <f>"210,0"</f>
        <v>210,0</v>
      </c>
      <c r="L13" s="24" t="str">
        <f>"116,4450"</f>
        <v>116,4450</v>
      </c>
      <c r="M13" s="22" t="s">
        <v>57</v>
      </c>
    </row>
    <row r="15" spans="1:12" ht="15">
      <c r="A15" s="58" t="s">
        <v>69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3" ht="12.75">
      <c r="A16" s="7" t="s">
        <v>222</v>
      </c>
      <c r="B16" s="7" t="s">
        <v>223</v>
      </c>
      <c r="C16" s="7" t="s">
        <v>224</v>
      </c>
      <c r="D16" s="7" t="str">
        <f>"0,5446"</f>
        <v>0,5446</v>
      </c>
      <c r="E16" s="7" t="s">
        <v>52</v>
      </c>
      <c r="F16" s="7" t="s">
        <v>75</v>
      </c>
      <c r="G16" s="8" t="s">
        <v>225</v>
      </c>
      <c r="H16" s="8" t="s">
        <v>226</v>
      </c>
      <c r="I16" s="8" t="s">
        <v>227</v>
      </c>
      <c r="J16" s="9"/>
      <c r="K16" s="7" t="str">
        <f>"280,0"</f>
        <v>280,0</v>
      </c>
      <c r="L16" s="8" t="str">
        <f>"152,4880"</f>
        <v>152,4880</v>
      </c>
      <c r="M16" s="7" t="s">
        <v>57</v>
      </c>
    </row>
    <row r="18" ht="15">
      <c r="E18" s="10" t="s">
        <v>30</v>
      </c>
    </row>
    <row r="19" ht="15">
      <c r="E19" s="10" t="s">
        <v>31</v>
      </c>
    </row>
    <row r="20" ht="15">
      <c r="E20" s="10" t="s">
        <v>32</v>
      </c>
    </row>
    <row r="21" ht="15">
      <c r="E21" s="10" t="s">
        <v>33</v>
      </c>
    </row>
    <row r="22" ht="15">
      <c r="E22" s="10" t="s">
        <v>33</v>
      </c>
    </row>
    <row r="23" ht="15">
      <c r="E23" s="10" t="s">
        <v>34</v>
      </c>
    </row>
    <row r="24" ht="15">
      <c r="E24" s="10"/>
    </row>
    <row r="26" spans="1:2" ht="18">
      <c r="A26" s="11" t="s">
        <v>35</v>
      </c>
      <c r="B26" s="11"/>
    </row>
    <row r="27" spans="1:2" ht="15">
      <c r="A27" s="12" t="s">
        <v>36</v>
      </c>
      <c r="B27" s="12"/>
    </row>
    <row r="28" spans="1:2" ht="14.25">
      <c r="A28" s="14"/>
      <c r="B28" s="15" t="s">
        <v>58</v>
      </c>
    </row>
    <row r="29" spans="1:5" ht="15">
      <c r="A29" s="17" t="s">
        <v>38</v>
      </c>
      <c r="B29" s="17" t="s">
        <v>39</v>
      </c>
      <c r="C29" s="17" t="s">
        <v>40</v>
      </c>
      <c r="D29" s="17" t="s">
        <v>41</v>
      </c>
      <c r="E29" s="17" t="s">
        <v>42</v>
      </c>
    </row>
    <row r="30" spans="1:5" ht="12.75">
      <c r="A30" s="13" t="s">
        <v>205</v>
      </c>
      <c r="B30" s="4" t="s">
        <v>58</v>
      </c>
      <c r="C30" s="4" t="s">
        <v>82</v>
      </c>
      <c r="D30" s="4" t="s">
        <v>210</v>
      </c>
      <c r="E30" s="18" t="s">
        <v>228</v>
      </c>
    </row>
    <row r="31" spans="1:5" ht="12.75">
      <c r="A31" s="13" t="s">
        <v>212</v>
      </c>
      <c r="B31" s="4" t="s">
        <v>58</v>
      </c>
      <c r="C31" s="4" t="s">
        <v>191</v>
      </c>
      <c r="D31" s="4" t="s">
        <v>163</v>
      </c>
      <c r="E31" s="18" t="s">
        <v>229</v>
      </c>
    </row>
    <row r="33" spans="1:2" ht="14.25">
      <c r="A33" s="14"/>
      <c r="B33" s="15" t="s">
        <v>37</v>
      </c>
    </row>
    <row r="34" spans="1:5" ht="15">
      <c r="A34" s="17" t="s">
        <v>38</v>
      </c>
      <c r="B34" s="17" t="s">
        <v>39</v>
      </c>
      <c r="C34" s="17" t="s">
        <v>40</v>
      </c>
      <c r="D34" s="17" t="s">
        <v>41</v>
      </c>
      <c r="E34" s="17" t="s">
        <v>42</v>
      </c>
    </row>
    <row r="35" spans="1:5" ht="12.75">
      <c r="A35" s="13" t="s">
        <v>221</v>
      </c>
      <c r="B35" s="4" t="s">
        <v>43</v>
      </c>
      <c r="C35" s="4" t="s">
        <v>84</v>
      </c>
      <c r="D35" s="4" t="s">
        <v>227</v>
      </c>
      <c r="E35" s="18" t="s">
        <v>230</v>
      </c>
    </row>
    <row r="36" spans="1:5" ht="12.75">
      <c r="A36" s="13" t="s">
        <v>217</v>
      </c>
      <c r="B36" s="4" t="s">
        <v>43</v>
      </c>
      <c r="C36" s="4" t="s">
        <v>191</v>
      </c>
      <c r="D36" s="4" t="s">
        <v>23</v>
      </c>
      <c r="E36" s="18" t="s">
        <v>231</v>
      </c>
    </row>
  </sheetData>
  <sheetProtection/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75390625" style="4" bestFit="1" customWidth="1"/>
    <col min="14" max="16384" width="9.125" style="3" customWidth="1"/>
  </cols>
  <sheetData>
    <row r="1" spans="1:13" s="2" customFormat="1" ht="28.5" customHeight="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13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195</v>
      </c>
      <c r="B6" s="7" t="s">
        <v>196</v>
      </c>
      <c r="C6" s="7" t="s">
        <v>197</v>
      </c>
      <c r="D6" s="7" t="str">
        <f>"0,5930"</f>
        <v>0,5930</v>
      </c>
      <c r="E6" s="7" t="s">
        <v>52</v>
      </c>
      <c r="F6" s="7" t="s">
        <v>21</v>
      </c>
      <c r="G6" s="8" t="s">
        <v>198</v>
      </c>
      <c r="H6" s="8" t="s">
        <v>199</v>
      </c>
      <c r="I6" s="9" t="s">
        <v>27</v>
      </c>
      <c r="J6" s="9"/>
      <c r="K6" s="7" t="str">
        <f>"215,0"</f>
        <v>215,0</v>
      </c>
      <c r="L6" s="8" t="str">
        <f>"127,4950"</f>
        <v>127,4950</v>
      </c>
      <c r="M6" s="7" t="s">
        <v>200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58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</row>
    <row r="20" spans="1:5" ht="12.75">
      <c r="A20" s="13" t="s">
        <v>194</v>
      </c>
      <c r="B20" s="4" t="s">
        <v>58</v>
      </c>
      <c r="C20" s="4" t="s">
        <v>82</v>
      </c>
      <c r="D20" s="4" t="s">
        <v>199</v>
      </c>
      <c r="E20" s="18" t="s">
        <v>201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1.625" style="4" bestFit="1" customWidth="1"/>
    <col min="14" max="16384" width="9.125" style="3" customWidth="1"/>
  </cols>
  <sheetData>
    <row r="1" spans="1:13" s="2" customFormat="1" ht="28.5" customHeight="1">
      <c r="A1" s="49" t="s">
        <v>478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13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95</v>
      </c>
      <c r="B6" s="7" t="s">
        <v>96</v>
      </c>
      <c r="C6" s="7" t="s">
        <v>97</v>
      </c>
      <c r="D6" s="7" t="str">
        <f>"0,8242"</f>
        <v>0,8242</v>
      </c>
      <c r="E6" s="7" t="s">
        <v>20</v>
      </c>
      <c r="F6" s="7" t="s">
        <v>21</v>
      </c>
      <c r="G6" s="8" t="s">
        <v>98</v>
      </c>
      <c r="H6" s="9" t="s">
        <v>99</v>
      </c>
      <c r="I6" s="9" t="s">
        <v>99</v>
      </c>
      <c r="J6" s="9"/>
      <c r="K6" s="7" t="str">
        <f>"102,5"</f>
        <v>102,5</v>
      </c>
      <c r="L6" s="8" t="str">
        <f>"87,8597"</f>
        <v>87,8597</v>
      </c>
      <c r="M6" s="7" t="s">
        <v>100</v>
      </c>
    </row>
    <row r="8" spans="1:12" ht="15">
      <c r="A8" s="58" t="s">
        <v>101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19" t="s">
        <v>103</v>
      </c>
      <c r="B9" s="19" t="s">
        <v>104</v>
      </c>
      <c r="C9" s="19" t="s">
        <v>105</v>
      </c>
      <c r="D9" s="19" t="str">
        <f>"0,7631"</f>
        <v>0,7631</v>
      </c>
      <c r="E9" s="19" t="s">
        <v>74</v>
      </c>
      <c r="F9" s="19" t="s">
        <v>75</v>
      </c>
      <c r="G9" s="21" t="s">
        <v>106</v>
      </c>
      <c r="H9" s="21" t="s">
        <v>107</v>
      </c>
      <c r="I9" s="21" t="s">
        <v>98</v>
      </c>
      <c r="J9" s="20"/>
      <c r="K9" s="19" t="str">
        <f>"102,5"</f>
        <v>102,5</v>
      </c>
      <c r="L9" s="21" t="str">
        <f>"92,2909"</f>
        <v>92,2909</v>
      </c>
      <c r="M9" s="19" t="s">
        <v>68</v>
      </c>
    </row>
    <row r="10" spans="1:13" ht="12.75">
      <c r="A10" s="25" t="s">
        <v>109</v>
      </c>
      <c r="B10" s="25" t="s">
        <v>110</v>
      </c>
      <c r="C10" s="25" t="s">
        <v>111</v>
      </c>
      <c r="D10" s="25" t="str">
        <f>"0,7327"</f>
        <v>0,7327</v>
      </c>
      <c r="E10" s="25" t="s">
        <v>52</v>
      </c>
      <c r="F10" s="25" t="s">
        <v>21</v>
      </c>
      <c r="G10" s="27" t="s">
        <v>112</v>
      </c>
      <c r="H10" s="26" t="s">
        <v>99</v>
      </c>
      <c r="I10" s="26" t="s">
        <v>99</v>
      </c>
      <c r="J10" s="26"/>
      <c r="K10" s="25" t="str">
        <f>"105,0"</f>
        <v>105,0</v>
      </c>
      <c r="L10" s="27" t="str">
        <f>"78,4722"</f>
        <v>78,4722</v>
      </c>
      <c r="M10" s="25" t="s">
        <v>68</v>
      </c>
    </row>
    <row r="11" spans="1:13" ht="12.75">
      <c r="A11" s="22" t="s">
        <v>114</v>
      </c>
      <c r="B11" s="22" t="s">
        <v>115</v>
      </c>
      <c r="C11" s="22" t="s">
        <v>116</v>
      </c>
      <c r="D11" s="22" t="str">
        <f>"0,7382"</f>
        <v>0,7382</v>
      </c>
      <c r="E11" s="22" t="s">
        <v>52</v>
      </c>
      <c r="F11" s="22" t="s">
        <v>21</v>
      </c>
      <c r="G11" s="24" t="s">
        <v>117</v>
      </c>
      <c r="H11" s="24" t="s">
        <v>118</v>
      </c>
      <c r="I11" s="24" t="s">
        <v>24</v>
      </c>
      <c r="J11" s="23"/>
      <c r="K11" s="22" t="str">
        <f>"140,0"</f>
        <v>140,0</v>
      </c>
      <c r="L11" s="24" t="str">
        <f>"103,3480"</f>
        <v>103,3480</v>
      </c>
      <c r="M11" s="22" t="s">
        <v>68</v>
      </c>
    </row>
    <row r="13" spans="1:12" ht="15">
      <c r="A13" s="58" t="s">
        <v>119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3" ht="12.75">
      <c r="A14" s="19" t="s">
        <v>121</v>
      </c>
      <c r="B14" s="19" t="s">
        <v>122</v>
      </c>
      <c r="C14" s="19" t="s">
        <v>123</v>
      </c>
      <c r="D14" s="19" t="str">
        <f>"0,6898"</f>
        <v>0,6898</v>
      </c>
      <c r="E14" s="19" t="s">
        <v>20</v>
      </c>
      <c r="F14" s="19" t="s">
        <v>21</v>
      </c>
      <c r="G14" s="21" t="s">
        <v>124</v>
      </c>
      <c r="H14" s="21" t="s">
        <v>125</v>
      </c>
      <c r="I14" s="20" t="s">
        <v>24</v>
      </c>
      <c r="J14" s="20"/>
      <c r="K14" s="19" t="str">
        <f>"135,0"</f>
        <v>135,0</v>
      </c>
      <c r="L14" s="21" t="str">
        <f>"100,5728"</f>
        <v>100,5728</v>
      </c>
      <c r="M14" s="19" t="s">
        <v>68</v>
      </c>
    </row>
    <row r="15" spans="1:13" ht="12.75">
      <c r="A15" s="22" t="s">
        <v>126</v>
      </c>
      <c r="B15" s="22" t="s">
        <v>127</v>
      </c>
      <c r="C15" s="22" t="s">
        <v>128</v>
      </c>
      <c r="D15" s="22" t="str">
        <f>"0,6733"</f>
        <v>0,6733</v>
      </c>
      <c r="E15" s="22" t="s">
        <v>52</v>
      </c>
      <c r="F15" s="22" t="s">
        <v>21</v>
      </c>
      <c r="G15" s="23" t="s">
        <v>107</v>
      </c>
      <c r="H15" s="23" t="s">
        <v>107</v>
      </c>
      <c r="I15" s="23" t="s">
        <v>107</v>
      </c>
      <c r="J15" s="23"/>
      <c r="K15" s="22" t="str">
        <f>"0.00"</f>
        <v>0.00</v>
      </c>
      <c r="L15" s="24" t="str">
        <f>"0,0000"</f>
        <v>0,0000</v>
      </c>
      <c r="M15" s="22" t="s">
        <v>68</v>
      </c>
    </row>
    <row r="17" spans="1:12" ht="15">
      <c r="A17" s="58" t="s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3" ht="12.75">
      <c r="A18" s="19" t="s">
        <v>130</v>
      </c>
      <c r="B18" s="19" t="s">
        <v>131</v>
      </c>
      <c r="C18" s="19" t="s">
        <v>132</v>
      </c>
      <c r="D18" s="19" t="str">
        <f>"0,6203"</f>
        <v>0,6203</v>
      </c>
      <c r="E18" s="19" t="s">
        <v>52</v>
      </c>
      <c r="F18" s="19" t="s">
        <v>21</v>
      </c>
      <c r="G18" s="21" t="s">
        <v>24</v>
      </c>
      <c r="H18" s="20" t="s">
        <v>25</v>
      </c>
      <c r="I18" s="20" t="s">
        <v>25</v>
      </c>
      <c r="J18" s="20"/>
      <c r="K18" s="19" t="str">
        <f>"140,0"</f>
        <v>140,0</v>
      </c>
      <c r="L18" s="21" t="str">
        <f>"93,7894"</f>
        <v>93,7894</v>
      </c>
      <c r="M18" s="19" t="s">
        <v>68</v>
      </c>
    </row>
    <row r="19" spans="1:13" ht="12.75">
      <c r="A19" s="25" t="s">
        <v>134</v>
      </c>
      <c r="B19" s="25" t="s">
        <v>135</v>
      </c>
      <c r="C19" s="25" t="s">
        <v>136</v>
      </c>
      <c r="D19" s="25" t="str">
        <f>"0,6224"</f>
        <v>0,6224</v>
      </c>
      <c r="E19" s="25" t="s">
        <v>137</v>
      </c>
      <c r="F19" s="25" t="s">
        <v>138</v>
      </c>
      <c r="G19" s="27" t="s">
        <v>124</v>
      </c>
      <c r="H19" s="27" t="s">
        <v>139</v>
      </c>
      <c r="I19" s="26"/>
      <c r="J19" s="26"/>
      <c r="K19" s="25" t="str">
        <f>"147,5"</f>
        <v>147,5</v>
      </c>
      <c r="L19" s="27" t="str">
        <f>"91,8040"</f>
        <v>91,8040</v>
      </c>
      <c r="M19" s="25" t="s">
        <v>68</v>
      </c>
    </row>
    <row r="20" spans="1:13" ht="12.75">
      <c r="A20" s="25" t="s">
        <v>141</v>
      </c>
      <c r="B20" s="25" t="s">
        <v>142</v>
      </c>
      <c r="C20" s="25" t="s">
        <v>143</v>
      </c>
      <c r="D20" s="25" t="str">
        <f>"0,6479"</f>
        <v>0,6479</v>
      </c>
      <c r="E20" s="25" t="s">
        <v>52</v>
      </c>
      <c r="F20" s="25" t="s">
        <v>21</v>
      </c>
      <c r="G20" s="27" t="s">
        <v>124</v>
      </c>
      <c r="H20" s="27" t="s">
        <v>125</v>
      </c>
      <c r="I20" s="26" t="s">
        <v>24</v>
      </c>
      <c r="J20" s="26"/>
      <c r="K20" s="25" t="str">
        <f>"135,0"</f>
        <v>135,0</v>
      </c>
      <c r="L20" s="27" t="str">
        <f>"102,5982"</f>
        <v>102,5982</v>
      </c>
      <c r="M20" s="25" t="s">
        <v>144</v>
      </c>
    </row>
    <row r="21" spans="1:13" ht="12.75">
      <c r="A21" s="22" t="s">
        <v>145</v>
      </c>
      <c r="B21" s="22" t="s">
        <v>142</v>
      </c>
      <c r="C21" s="22" t="s">
        <v>143</v>
      </c>
      <c r="D21" s="22" t="str">
        <f>"0,6479"</f>
        <v>0,6479</v>
      </c>
      <c r="E21" s="22" t="s">
        <v>20</v>
      </c>
      <c r="F21" s="22" t="s">
        <v>21</v>
      </c>
      <c r="G21" s="23" t="s">
        <v>124</v>
      </c>
      <c r="H21" s="23"/>
      <c r="I21" s="23"/>
      <c r="J21" s="23"/>
      <c r="K21" s="22" t="str">
        <f>"0.00"</f>
        <v>0.00</v>
      </c>
      <c r="L21" s="24" t="str">
        <f>"0,0000"</f>
        <v>0,0000</v>
      </c>
      <c r="M21" s="22" t="s">
        <v>144</v>
      </c>
    </row>
    <row r="23" spans="1:12" ht="15">
      <c r="A23" s="58" t="s">
        <v>62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3" ht="12.75">
      <c r="A24" s="7" t="s">
        <v>64</v>
      </c>
      <c r="B24" s="7" t="s">
        <v>65</v>
      </c>
      <c r="C24" s="7" t="s">
        <v>66</v>
      </c>
      <c r="D24" s="7" t="str">
        <f>"0,5853"</f>
        <v>0,5853</v>
      </c>
      <c r="E24" s="7" t="s">
        <v>52</v>
      </c>
      <c r="F24" s="7" t="s">
        <v>21</v>
      </c>
      <c r="G24" s="8" t="s">
        <v>67</v>
      </c>
      <c r="H24" s="8" t="s">
        <v>146</v>
      </c>
      <c r="I24" s="8" t="s">
        <v>147</v>
      </c>
      <c r="J24" s="9"/>
      <c r="K24" s="7" t="str">
        <f>"167,5"</f>
        <v>167,5</v>
      </c>
      <c r="L24" s="8" t="str">
        <f>"98,0378"</f>
        <v>98,0378</v>
      </c>
      <c r="M24" s="7" t="s">
        <v>68</v>
      </c>
    </row>
    <row r="26" spans="1:12" ht="15">
      <c r="A26" s="58" t="s">
        <v>148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3" ht="12.75">
      <c r="A27" s="19" t="s">
        <v>149</v>
      </c>
      <c r="B27" s="19" t="s">
        <v>150</v>
      </c>
      <c r="C27" s="19" t="s">
        <v>151</v>
      </c>
      <c r="D27" s="19" t="str">
        <f>"0,5688"</f>
        <v>0,5688</v>
      </c>
      <c r="E27" s="19" t="s">
        <v>52</v>
      </c>
      <c r="F27" s="19" t="s">
        <v>21</v>
      </c>
      <c r="G27" s="20" t="s">
        <v>152</v>
      </c>
      <c r="H27" s="20" t="s">
        <v>153</v>
      </c>
      <c r="I27" s="20" t="s">
        <v>153</v>
      </c>
      <c r="J27" s="20"/>
      <c r="K27" s="19" t="str">
        <f>"0.00"</f>
        <v>0.00</v>
      </c>
      <c r="L27" s="21" t="str">
        <f>"0,0000"</f>
        <v>0,0000</v>
      </c>
      <c r="M27" s="19" t="s">
        <v>154</v>
      </c>
    </row>
    <row r="28" spans="1:13" ht="12.75">
      <c r="A28" s="25" t="s">
        <v>156</v>
      </c>
      <c r="B28" s="25" t="s">
        <v>157</v>
      </c>
      <c r="C28" s="25" t="s">
        <v>158</v>
      </c>
      <c r="D28" s="25" t="str">
        <f>"0,5543"</f>
        <v>0,5543</v>
      </c>
      <c r="E28" s="25" t="s">
        <v>52</v>
      </c>
      <c r="F28" s="25" t="s">
        <v>21</v>
      </c>
      <c r="G28" s="27" t="s">
        <v>24</v>
      </c>
      <c r="H28" s="27" t="s">
        <v>139</v>
      </c>
      <c r="I28" s="26" t="s">
        <v>26</v>
      </c>
      <c r="J28" s="26"/>
      <c r="K28" s="25" t="str">
        <f>"147,5"</f>
        <v>147,5</v>
      </c>
      <c r="L28" s="27" t="str">
        <f>"81,7593"</f>
        <v>81,7593</v>
      </c>
      <c r="M28" s="25" t="s">
        <v>144</v>
      </c>
    </row>
    <row r="29" spans="1:13" ht="12.75">
      <c r="A29" s="22" t="s">
        <v>160</v>
      </c>
      <c r="B29" s="22" t="s">
        <v>161</v>
      </c>
      <c r="C29" s="22" t="s">
        <v>162</v>
      </c>
      <c r="D29" s="22" t="str">
        <f>"0,5613"</f>
        <v>0,5613</v>
      </c>
      <c r="E29" s="22" t="s">
        <v>20</v>
      </c>
      <c r="F29" s="22" t="s">
        <v>21</v>
      </c>
      <c r="G29" s="24" t="s">
        <v>26</v>
      </c>
      <c r="H29" s="23" t="s">
        <v>67</v>
      </c>
      <c r="I29" s="24" t="s">
        <v>67</v>
      </c>
      <c r="J29" s="23"/>
      <c r="K29" s="22" t="str">
        <f>"155,0"</f>
        <v>155,0</v>
      </c>
      <c r="L29" s="24" t="str">
        <f>"97,1807"</f>
        <v>97,1807</v>
      </c>
      <c r="M29" s="22" t="s">
        <v>68</v>
      </c>
    </row>
    <row r="31" spans="1:12" ht="15">
      <c r="A31" s="58" t="s">
        <v>69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3" ht="12.75">
      <c r="A32" s="19" t="s">
        <v>71</v>
      </c>
      <c r="B32" s="19" t="s">
        <v>72</v>
      </c>
      <c r="C32" s="19" t="s">
        <v>73</v>
      </c>
      <c r="D32" s="19" t="str">
        <f>"0,5380"</f>
        <v>0,5380</v>
      </c>
      <c r="E32" s="19" t="s">
        <v>74</v>
      </c>
      <c r="F32" s="19" t="s">
        <v>75</v>
      </c>
      <c r="G32" s="21" t="s">
        <v>76</v>
      </c>
      <c r="H32" s="21" t="s">
        <v>153</v>
      </c>
      <c r="I32" s="20" t="s">
        <v>163</v>
      </c>
      <c r="J32" s="20"/>
      <c r="K32" s="19" t="str">
        <f>"175,0"</f>
        <v>175,0</v>
      </c>
      <c r="L32" s="21" t="str">
        <f>"94,1587"</f>
        <v>94,1587</v>
      </c>
      <c r="M32" s="19" t="s">
        <v>68</v>
      </c>
    </row>
    <row r="33" spans="1:13" ht="12.75">
      <c r="A33" s="22" t="s">
        <v>165</v>
      </c>
      <c r="B33" s="22" t="s">
        <v>166</v>
      </c>
      <c r="C33" s="22" t="s">
        <v>167</v>
      </c>
      <c r="D33" s="22" t="str">
        <f>"0,5437"</f>
        <v>0,5437</v>
      </c>
      <c r="E33" s="22" t="s">
        <v>20</v>
      </c>
      <c r="F33" s="22" t="s">
        <v>75</v>
      </c>
      <c r="G33" s="24" t="s">
        <v>125</v>
      </c>
      <c r="H33" s="24" t="s">
        <v>168</v>
      </c>
      <c r="I33" s="23" t="s">
        <v>139</v>
      </c>
      <c r="J33" s="23"/>
      <c r="K33" s="22" t="str">
        <f>"142,5"</f>
        <v>142,5</v>
      </c>
      <c r="L33" s="24" t="str">
        <f>"77,4772"</f>
        <v>77,4772</v>
      </c>
      <c r="M33" s="22" t="s">
        <v>68</v>
      </c>
    </row>
    <row r="35" ht="15">
      <c r="E35" s="10" t="s">
        <v>30</v>
      </c>
    </row>
    <row r="36" ht="15">
      <c r="E36" s="10" t="s">
        <v>31</v>
      </c>
    </row>
    <row r="37" ht="15">
      <c r="E37" s="10" t="s">
        <v>32</v>
      </c>
    </row>
    <row r="38" ht="15">
      <c r="E38" s="10" t="s">
        <v>33</v>
      </c>
    </row>
    <row r="39" ht="15">
      <c r="E39" s="10" t="s">
        <v>33</v>
      </c>
    </row>
    <row r="40" ht="15">
      <c r="E40" s="10" t="s">
        <v>34</v>
      </c>
    </row>
    <row r="41" ht="15">
      <c r="E41" s="10"/>
    </row>
    <row r="43" spans="1:2" ht="18">
      <c r="A43" s="11" t="s">
        <v>35</v>
      </c>
      <c r="B43" s="11"/>
    </row>
    <row r="44" spans="1:2" ht="15">
      <c r="A44" s="12" t="s">
        <v>36</v>
      </c>
      <c r="B44" s="12"/>
    </row>
    <row r="45" spans="1:2" ht="14.25">
      <c r="A45" s="14"/>
      <c r="B45" s="15" t="s">
        <v>169</v>
      </c>
    </row>
    <row r="46" spans="1:5" ht="15">
      <c r="A46" s="17" t="s">
        <v>38</v>
      </c>
      <c r="B46" s="17" t="s">
        <v>39</v>
      </c>
      <c r="C46" s="17" t="s">
        <v>40</v>
      </c>
      <c r="D46" s="17" t="s">
        <v>41</v>
      </c>
      <c r="E46" s="17" t="s">
        <v>42</v>
      </c>
    </row>
    <row r="47" spans="1:5" ht="12.75">
      <c r="A47" s="13" t="s">
        <v>120</v>
      </c>
      <c r="B47" s="4" t="s">
        <v>170</v>
      </c>
      <c r="C47" s="4" t="s">
        <v>171</v>
      </c>
      <c r="D47" s="4" t="s">
        <v>125</v>
      </c>
      <c r="E47" s="18" t="s">
        <v>172</v>
      </c>
    </row>
    <row r="48" spans="1:5" ht="12.75">
      <c r="A48" s="13" t="s">
        <v>129</v>
      </c>
      <c r="B48" s="4" t="s">
        <v>170</v>
      </c>
      <c r="C48" s="4" t="s">
        <v>59</v>
      </c>
      <c r="D48" s="4" t="s">
        <v>24</v>
      </c>
      <c r="E48" s="18" t="s">
        <v>173</v>
      </c>
    </row>
    <row r="49" spans="1:5" ht="12.75">
      <c r="A49" s="13" t="s">
        <v>102</v>
      </c>
      <c r="B49" s="4" t="s">
        <v>174</v>
      </c>
      <c r="C49" s="4" t="s">
        <v>175</v>
      </c>
      <c r="D49" s="4" t="s">
        <v>98</v>
      </c>
      <c r="E49" s="18" t="s">
        <v>176</v>
      </c>
    </row>
    <row r="50" spans="1:5" ht="12.75">
      <c r="A50" s="13" t="s">
        <v>94</v>
      </c>
      <c r="B50" s="4" t="s">
        <v>177</v>
      </c>
      <c r="C50" s="4" t="s">
        <v>178</v>
      </c>
      <c r="D50" s="4" t="s">
        <v>98</v>
      </c>
      <c r="E50" s="18" t="s">
        <v>179</v>
      </c>
    </row>
    <row r="52" spans="1:2" ht="14.25">
      <c r="A52" s="14"/>
      <c r="B52" s="15" t="s">
        <v>180</v>
      </c>
    </row>
    <row r="53" spans="1:5" ht="15">
      <c r="A53" s="17" t="s">
        <v>38</v>
      </c>
      <c r="B53" s="17" t="s">
        <v>39</v>
      </c>
      <c r="C53" s="17" t="s">
        <v>40</v>
      </c>
      <c r="D53" s="17" t="s">
        <v>41</v>
      </c>
      <c r="E53" s="17" t="s">
        <v>42</v>
      </c>
    </row>
    <row r="54" spans="1:5" ht="12.75">
      <c r="A54" s="13" t="s">
        <v>108</v>
      </c>
      <c r="B54" s="4" t="s">
        <v>181</v>
      </c>
      <c r="C54" s="4" t="s">
        <v>175</v>
      </c>
      <c r="D54" s="4" t="s">
        <v>112</v>
      </c>
      <c r="E54" s="18" t="s">
        <v>182</v>
      </c>
    </row>
    <row r="56" spans="1:2" ht="14.25">
      <c r="A56" s="14"/>
      <c r="B56" s="15" t="s">
        <v>58</v>
      </c>
    </row>
    <row r="57" spans="1:5" ht="15">
      <c r="A57" s="17" t="s">
        <v>38</v>
      </c>
      <c r="B57" s="17" t="s">
        <v>39</v>
      </c>
      <c r="C57" s="17" t="s">
        <v>40</v>
      </c>
      <c r="D57" s="17" t="s">
        <v>41</v>
      </c>
      <c r="E57" s="17" t="s">
        <v>42</v>
      </c>
    </row>
    <row r="58" spans="1:5" ht="12.75">
      <c r="A58" s="13" t="s">
        <v>113</v>
      </c>
      <c r="B58" s="4" t="s">
        <v>58</v>
      </c>
      <c r="C58" s="4" t="s">
        <v>175</v>
      </c>
      <c r="D58" s="4" t="s">
        <v>24</v>
      </c>
      <c r="E58" s="18" t="s">
        <v>183</v>
      </c>
    </row>
    <row r="59" spans="1:5" ht="12.75">
      <c r="A59" s="13" t="s">
        <v>63</v>
      </c>
      <c r="B59" s="4" t="s">
        <v>58</v>
      </c>
      <c r="C59" s="4" t="s">
        <v>82</v>
      </c>
      <c r="D59" s="4" t="s">
        <v>147</v>
      </c>
      <c r="E59" s="18" t="s">
        <v>184</v>
      </c>
    </row>
    <row r="60" spans="1:5" ht="12.75">
      <c r="A60" s="13" t="s">
        <v>70</v>
      </c>
      <c r="B60" s="4" t="s">
        <v>58</v>
      </c>
      <c r="C60" s="4" t="s">
        <v>84</v>
      </c>
      <c r="D60" s="4" t="s">
        <v>153</v>
      </c>
      <c r="E60" s="18" t="s">
        <v>185</v>
      </c>
    </row>
    <row r="61" spans="1:5" ht="12.75">
      <c r="A61" s="13" t="s">
        <v>133</v>
      </c>
      <c r="B61" s="4" t="s">
        <v>58</v>
      </c>
      <c r="C61" s="4" t="s">
        <v>59</v>
      </c>
      <c r="D61" s="4" t="s">
        <v>139</v>
      </c>
      <c r="E61" s="18" t="s">
        <v>186</v>
      </c>
    </row>
    <row r="62" spans="1:5" ht="12.75">
      <c r="A62" s="13" t="s">
        <v>164</v>
      </c>
      <c r="B62" s="4" t="s">
        <v>58</v>
      </c>
      <c r="C62" s="4" t="s">
        <v>84</v>
      </c>
      <c r="D62" s="4" t="s">
        <v>168</v>
      </c>
      <c r="E62" s="18" t="s">
        <v>187</v>
      </c>
    </row>
    <row r="64" spans="1:2" ht="14.25">
      <c r="A64" s="14"/>
      <c r="B64" s="15" t="s">
        <v>37</v>
      </c>
    </row>
    <row r="65" spans="1:5" ht="15">
      <c r="A65" s="17" t="s">
        <v>38</v>
      </c>
      <c r="B65" s="17" t="s">
        <v>39</v>
      </c>
      <c r="C65" s="17" t="s">
        <v>40</v>
      </c>
      <c r="D65" s="17" t="s">
        <v>41</v>
      </c>
      <c r="E65" s="17" t="s">
        <v>42</v>
      </c>
    </row>
    <row r="66" spans="1:5" ht="12.75">
      <c r="A66" s="13" t="s">
        <v>140</v>
      </c>
      <c r="B66" s="4" t="s">
        <v>188</v>
      </c>
      <c r="C66" s="4" t="s">
        <v>59</v>
      </c>
      <c r="D66" s="4" t="s">
        <v>125</v>
      </c>
      <c r="E66" s="18" t="s">
        <v>189</v>
      </c>
    </row>
    <row r="67" spans="1:5" ht="12.75">
      <c r="A67" s="13" t="s">
        <v>159</v>
      </c>
      <c r="B67" s="4" t="s">
        <v>190</v>
      </c>
      <c r="C67" s="4" t="s">
        <v>191</v>
      </c>
      <c r="D67" s="4" t="s">
        <v>67</v>
      </c>
      <c r="E67" s="18" t="s">
        <v>192</v>
      </c>
    </row>
    <row r="68" spans="1:5" ht="12.75">
      <c r="A68" s="13" t="s">
        <v>155</v>
      </c>
      <c r="B68" s="4" t="s">
        <v>43</v>
      </c>
      <c r="C68" s="4" t="s">
        <v>191</v>
      </c>
      <c r="D68" s="4" t="s">
        <v>139</v>
      </c>
      <c r="E68" s="18" t="s">
        <v>193</v>
      </c>
    </row>
  </sheetData>
  <sheetProtection/>
  <mergeCells count="18">
    <mergeCell ref="A17:L17"/>
    <mergeCell ref="A23:L23"/>
    <mergeCell ref="A26:L26"/>
    <mergeCell ref="A31:L31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4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4" bestFit="1" customWidth="1"/>
    <col min="20" max="20" width="8.625" style="3" bestFit="1" customWidth="1"/>
    <col min="21" max="21" width="23.00390625" style="4" bestFit="1" customWidth="1"/>
    <col min="22" max="16384" width="9.125" style="3" customWidth="1"/>
  </cols>
  <sheetData>
    <row r="1" spans="1:21" s="2" customFormat="1" ht="41.25" customHeight="1">
      <c r="A1" s="49" t="s">
        <v>477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6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</v>
      </c>
      <c r="H3" s="44"/>
      <c r="I3" s="44"/>
      <c r="J3" s="44"/>
      <c r="K3" s="44" t="s">
        <v>13</v>
      </c>
      <c r="L3" s="44"/>
      <c r="M3" s="44"/>
      <c r="N3" s="44"/>
      <c r="O3" s="44" t="s">
        <v>2</v>
      </c>
      <c r="P3" s="44"/>
      <c r="Q3" s="44"/>
      <c r="R3" s="44"/>
      <c r="S3" s="44" t="s">
        <v>3</v>
      </c>
      <c r="T3" s="44" t="s">
        <v>5</v>
      </c>
      <c r="U3" s="46" t="s">
        <v>4</v>
      </c>
    </row>
    <row r="4" spans="1:21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45"/>
      <c r="T4" s="45"/>
      <c r="U4" s="47"/>
    </row>
    <row r="5" spans="1:20" ht="15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 ht="12.75">
      <c r="A6" s="7" t="s">
        <v>89</v>
      </c>
      <c r="B6" s="7" t="s">
        <v>90</v>
      </c>
      <c r="C6" s="7" t="s">
        <v>91</v>
      </c>
      <c r="D6" s="7" t="str">
        <f>"0,8257"</f>
        <v>0,8257</v>
      </c>
      <c r="E6" s="7" t="s">
        <v>74</v>
      </c>
      <c r="F6" s="7" t="s">
        <v>75</v>
      </c>
      <c r="G6" s="9"/>
      <c r="H6" s="9"/>
      <c r="I6" s="9"/>
      <c r="J6" s="9"/>
      <c r="K6" s="8" t="s">
        <v>92</v>
      </c>
      <c r="L6" s="9" t="s">
        <v>93</v>
      </c>
      <c r="M6" s="8" t="s">
        <v>93</v>
      </c>
      <c r="N6" s="9"/>
      <c r="O6" s="9"/>
      <c r="P6" s="9"/>
      <c r="Q6" s="9"/>
      <c r="R6" s="9"/>
      <c r="S6" s="7" t="str">
        <f>"75,0"</f>
        <v>75,0</v>
      </c>
      <c r="T6" s="8" t="str">
        <f>"63,0422"</f>
        <v>63,0422</v>
      </c>
      <c r="U6" s="7" t="s">
        <v>68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37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7.875" style="4" bestFit="1" customWidth="1"/>
    <col min="14" max="16384" width="9.125" style="3" customWidth="1"/>
  </cols>
  <sheetData>
    <row r="1" spans="1:13" s="2" customFormat="1" ht="28.5" customHeight="1">
      <c r="A1" s="49" t="s">
        <v>476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13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62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64</v>
      </c>
      <c r="B6" s="7" t="s">
        <v>65</v>
      </c>
      <c r="C6" s="7" t="s">
        <v>66</v>
      </c>
      <c r="D6" s="7" t="str">
        <f>"0,5853"</f>
        <v>0,5853</v>
      </c>
      <c r="E6" s="7" t="s">
        <v>52</v>
      </c>
      <c r="F6" s="7" t="s">
        <v>21</v>
      </c>
      <c r="G6" s="8" t="s">
        <v>25</v>
      </c>
      <c r="H6" s="8" t="s">
        <v>26</v>
      </c>
      <c r="I6" s="8" t="s">
        <v>67</v>
      </c>
      <c r="J6" s="9"/>
      <c r="K6" s="7" t="str">
        <f>"155,0"</f>
        <v>155,0</v>
      </c>
      <c r="L6" s="8" t="str">
        <f>"90,7215"</f>
        <v>90,7215</v>
      </c>
      <c r="M6" s="7" t="s">
        <v>68</v>
      </c>
    </row>
    <row r="8" spans="1:12" ht="15">
      <c r="A8" s="58" t="s">
        <v>69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19" t="s">
        <v>71</v>
      </c>
      <c r="B9" s="19" t="s">
        <v>72</v>
      </c>
      <c r="C9" s="19" t="s">
        <v>73</v>
      </c>
      <c r="D9" s="19" t="str">
        <f>"0,5380"</f>
        <v>0,5380</v>
      </c>
      <c r="E9" s="19" t="s">
        <v>74</v>
      </c>
      <c r="F9" s="19" t="s">
        <v>75</v>
      </c>
      <c r="G9" s="21" t="s">
        <v>54</v>
      </c>
      <c r="H9" s="21" t="s">
        <v>76</v>
      </c>
      <c r="I9" s="20"/>
      <c r="J9" s="20"/>
      <c r="K9" s="19" t="str">
        <f>"165,0"</f>
        <v>165,0</v>
      </c>
      <c r="L9" s="21" t="str">
        <f>"88,7782"</f>
        <v>88,7782</v>
      </c>
      <c r="M9" s="19" t="s">
        <v>68</v>
      </c>
    </row>
    <row r="10" spans="1:13" ht="12.75">
      <c r="A10" s="22" t="s">
        <v>78</v>
      </c>
      <c r="B10" s="22" t="s">
        <v>79</v>
      </c>
      <c r="C10" s="22" t="s">
        <v>80</v>
      </c>
      <c r="D10" s="22" t="str">
        <f>"0,5376"</f>
        <v>0,5376</v>
      </c>
      <c r="E10" s="22" t="s">
        <v>20</v>
      </c>
      <c r="F10" s="22" t="s">
        <v>21</v>
      </c>
      <c r="G10" s="24" t="s">
        <v>26</v>
      </c>
      <c r="H10" s="23" t="s">
        <v>67</v>
      </c>
      <c r="I10" s="23" t="s">
        <v>67</v>
      </c>
      <c r="J10" s="23"/>
      <c r="K10" s="22" t="str">
        <f>"150,0"</f>
        <v>150,0</v>
      </c>
      <c r="L10" s="24" t="str">
        <f>"80,6400"</f>
        <v>80,6400</v>
      </c>
      <c r="M10" s="22" t="s">
        <v>81</v>
      </c>
    </row>
    <row r="12" ht="15">
      <c r="E12" s="10" t="s">
        <v>30</v>
      </c>
    </row>
    <row r="13" ht="15">
      <c r="E13" s="10" t="s">
        <v>31</v>
      </c>
    </row>
    <row r="14" ht="15">
      <c r="E14" s="10" t="s">
        <v>32</v>
      </c>
    </row>
    <row r="15" ht="15">
      <c r="E15" s="10" t="s">
        <v>33</v>
      </c>
    </row>
    <row r="16" ht="15">
      <c r="E16" s="10" t="s">
        <v>33</v>
      </c>
    </row>
    <row r="17" ht="15">
      <c r="E17" s="10" t="s">
        <v>34</v>
      </c>
    </row>
    <row r="18" ht="15">
      <c r="E18" s="10"/>
    </row>
    <row r="20" spans="1:2" ht="18">
      <c r="A20" s="11" t="s">
        <v>35</v>
      </c>
      <c r="B20" s="11"/>
    </row>
    <row r="21" spans="1:2" ht="15">
      <c r="A21" s="12" t="s">
        <v>36</v>
      </c>
      <c r="B21" s="12"/>
    </row>
    <row r="22" spans="1:2" ht="14.25">
      <c r="A22" s="14"/>
      <c r="B22" s="15" t="s">
        <v>58</v>
      </c>
    </row>
    <row r="23" spans="1:5" ht="15">
      <c r="A23" s="17" t="s">
        <v>38</v>
      </c>
      <c r="B23" s="17" t="s">
        <v>39</v>
      </c>
      <c r="C23" s="17" t="s">
        <v>40</v>
      </c>
      <c r="D23" s="17" t="s">
        <v>41</v>
      </c>
      <c r="E23" s="17" t="s">
        <v>42</v>
      </c>
    </row>
    <row r="24" spans="1:5" ht="12.75">
      <c r="A24" s="13" t="s">
        <v>63</v>
      </c>
      <c r="B24" s="4" t="s">
        <v>58</v>
      </c>
      <c r="C24" s="4" t="s">
        <v>82</v>
      </c>
      <c r="D24" s="4" t="s">
        <v>67</v>
      </c>
      <c r="E24" s="18" t="s">
        <v>83</v>
      </c>
    </row>
    <row r="25" spans="1:5" ht="12.75">
      <c r="A25" s="13" t="s">
        <v>70</v>
      </c>
      <c r="B25" s="4" t="s">
        <v>58</v>
      </c>
      <c r="C25" s="4" t="s">
        <v>84</v>
      </c>
      <c r="D25" s="4" t="s">
        <v>76</v>
      </c>
      <c r="E25" s="18" t="s">
        <v>85</v>
      </c>
    </row>
    <row r="26" spans="1:5" ht="12.75">
      <c r="A26" s="13" t="s">
        <v>77</v>
      </c>
      <c r="B26" s="4" t="s">
        <v>58</v>
      </c>
      <c r="C26" s="4" t="s">
        <v>84</v>
      </c>
      <c r="D26" s="4" t="s">
        <v>26</v>
      </c>
      <c r="E26" s="18" t="s">
        <v>86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6.25390625" style="4" bestFit="1" customWidth="1"/>
    <col min="22" max="16384" width="9.125" style="3" customWidth="1"/>
  </cols>
  <sheetData>
    <row r="1" spans="1:21" s="2" customFormat="1" ht="28.5" customHeight="1">
      <c r="A1" s="49" t="s">
        <v>475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12</v>
      </c>
      <c r="H3" s="44"/>
      <c r="I3" s="44"/>
      <c r="J3" s="44"/>
      <c r="K3" s="44" t="s">
        <v>13</v>
      </c>
      <c r="L3" s="44"/>
      <c r="M3" s="44"/>
      <c r="N3" s="44"/>
      <c r="O3" s="44" t="s">
        <v>14</v>
      </c>
      <c r="P3" s="44"/>
      <c r="Q3" s="44"/>
      <c r="R3" s="44"/>
      <c r="S3" s="44" t="s">
        <v>3</v>
      </c>
      <c r="T3" s="44" t="s">
        <v>5</v>
      </c>
      <c r="U3" s="46" t="s">
        <v>4</v>
      </c>
    </row>
    <row r="4" spans="1:21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45"/>
      <c r="T4" s="45"/>
      <c r="U4" s="47"/>
    </row>
    <row r="5" spans="1:20" ht="1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 ht="12.75">
      <c r="A6" s="7" t="s">
        <v>49</v>
      </c>
      <c r="B6" s="7" t="s">
        <v>50</v>
      </c>
      <c r="C6" s="7" t="s">
        <v>51</v>
      </c>
      <c r="D6" s="7" t="str">
        <f>"0,6193"</f>
        <v>0,6193</v>
      </c>
      <c r="E6" s="7" t="s">
        <v>52</v>
      </c>
      <c r="F6" s="7" t="s">
        <v>21</v>
      </c>
      <c r="G6" s="8" t="s">
        <v>53</v>
      </c>
      <c r="H6" s="8" t="s">
        <v>23</v>
      </c>
      <c r="I6" s="9" t="s">
        <v>27</v>
      </c>
      <c r="J6" s="9"/>
      <c r="K6" s="8" t="s">
        <v>24</v>
      </c>
      <c r="L6" s="8" t="s">
        <v>26</v>
      </c>
      <c r="M6" s="9" t="s">
        <v>54</v>
      </c>
      <c r="N6" s="9"/>
      <c r="O6" s="8" t="s">
        <v>27</v>
      </c>
      <c r="P6" s="8" t="s">
        <v>55</v>
      </c>
      <c r="Q6" s="9" t="s">
        <v>56</v>
      </c>
      <c r="R6" s="9"/>
      <c r="S6" s="7" t="str">
        <f>"590,0"</f>
        <v>590,0</v>
      </c>
      <c r="T6" s="8" t="str">
        <f>"365,3870"</f>
        <v>365,3870</v>
      </c>
      <c r="U6" s="7" t="s">
        <v>57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58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</row>
    <row r="20" spans="1:5" ht="12.75">
      <c r="A20" s="13" t="s">
        <v>48</v>
      </c>
      <c r="B20" s="4" t="s">
        <v>58</v>
      </c>
      <c r="C20" s="4" t="s">
        <v>59</v>
      </c>
      <c r="D20" s="4" t="s">
        <v>60</v>
      </c>
      <c r="E20" s="18" t="s">
        <v>61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3.875" style="4" bestFit="1" customWidth="1"/>
    <col min="22" max="16384" width="9.125" style="3" customWidth="1"/>
  </cols>
  <sheetData>
    <row r="1" spans="1:21" s="2" customFormat="1" ht="28.5" customHeight="1">
      <c r="A1" s="49" t="s">
        <v>474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12</v>
      </c>
      <c r="H3" s="44"/>
      <c r="I3" s="44"/>
      <c r="J3" s="44"/>
      <c r="K3" s="44" t="s">
        <v>13</v>
      </c>
      <c r="L3" s="44"/>
      <c r="M3" s="44"/>
      <c r="N3" s="44"/>
      <c r="O3" s="44" t="s">
        <v>14</v>
      </c>
      <c r="P3" s="44"/>
      <c r="Q3" s="44"/>
      <c r="R3" s="44"/>
      <c r="S3" s="44" t="s">
        <v>3</v>
      </c>
      <c r="T3" s="44" t="s">
        <v>5</v>
      </c>
      <c r="U3" s="46" t="s">
        <v>4</v>
      </c>
    </row>
    <row r="4" spans="1:21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45"/>
      <c r="T4" s="45"/>
      <c r="U4" s="47"/>
    </row>
    <row r="5" spans="1:20" ht="15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 ht="12.75">
      <c r="A6" s="7" t="s">
        <v>17</v>
      </c>
      <c r="B6" s="7" t="s">
        <v>18</v>
      </c>
      <c r="C6" s="7" t="s">
        <v>19</v>
      </c>
      <c r="D6" s="7" t="str">
        <f>"0,5270"</f>
        <v>0,5270</v>
      </c>
      <c r="E6" s="7" t="s">
        <v>20</v>
      </c>
      <c r="F6" s="7" t="s">
        <v>21</v>
      </c>
      <c r="G6" s="8" t="s">
        <v>22</v>
      </c>
      <c r="H6" s="8" t="s">
        <v>23</v>
      </c>
      <c r="I6" s="9"/>
      <c r="J6" s="9"/>
      <c r="K6" s="8" t="s">
        <v>24</v>
      </c>
      <c r="L6" s="8" t="s">
        <v>25</v>
      </c>
      <c r="M6" s="9" t="s">
        <v>26</v>
      </c>
      <c r="N6" s="9"/>
      <c r="O6" s="8" t="s">
        <v>27</v>
      </c>
      <c r="P6" s="9" t="s">
        <v>28</v>
      </c>
      <c r="Q6" s="9" t="s">
        <v>28</v>
      </c>
      <c r="R6" s="9"/>
      <c r="S6" s="7" t="str">
        <f>"575,0"</f>
        <v>575,0</v>
      </c>
      <c r="T6" s="8" t="str">
        <f>"305,7522"</f>
        <v>305,7522</v>
      </c>
      <c r="U6" s="7" t="s">
        <v>29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37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</row>
    <row r="20" spans="1:5" ht="12.75">
      <c r="A20" s="13" t="s">
        <v>16</v>
      </c>
      <c r="B20" s="4" t="s">
        <v>43</v>
      </c>
      <c r="C20" s="4" t="s">
        <v>44</v>
      </c>
      <c r="D20" s="4" t="s">
        <v>45</v>
      </c>
      <c r="E20" s="18" t="s">
        <v>46</v>
      </c>
    </row>
  </sheetData>
  <sheetProtection/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customWidth="1"/>
    <col min="8" max="8" width="4.625" style="32" customWidth="1"/>
    <col min="9" max="9" width="7.875" style="4" bestFit="1" customWidth="1"/>
    <col min="10" max="10" width="7.625" style="3" bestFit="1" customWidth="1"/>
    <col min="11" max="11" width="17.375" style="4" bestFit="1" customWidth="1"/>
    <col min="12" max="16384" width="9.125" style="3" customWidth="1"/>
  </cols>
  <sheetData>
    <row r="1" spans="1:11" s="2" customFormat="1" ht="28.5" customHeight="1">
      <c r="A1" s="49" t="s">
        <v>491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434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435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7" t="s">
        <v>454</v>
      </c>
      <c r="B6" s="7" t="s">
        <v>455</v>
      </c>
      <c r="C6" s="7" t="s">
        <v>456</v>
      </c>
      <c r="D6" s="7" t="str">
        <f>"1,0000"</f>
        <v>1,0000</v>
      </c>
      <c r="E6" s="7" t="s">
        <v>74</v>
      </c>
      <c r="F6" s="7" t="s">
        <v>75</v>
      </c>
      <c r="G6" s="8" t="s">
        <v>440</v>
      </c>
      <c r="H6" s="31" t="s">
        <v>457</v>
      </c>
      <c r="I6" s="7" t="str">
        <f>"3410,0"</f>
        <v>3410,0</v>
      </c>
      <c r="J6" s="8" t="str">
        <f>"38,2072"</f>
        <v>38,2072</v>
      </c>
      <c r="K6" s="7" t="s">
        <v>458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58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447</v>
      </c>
    </row>
    <row r="20" spans="1:5" ht="12.75">
      <c r="A20" s="13" t="s">
        <v>453</v>
      </c>
      <c r="B20" s="4" t="s">
        <v>58</v>
      </c>
      <c r="C20" s="4" t="s">
        <v>448</v>
      </c>
      <c r="D20" s="4" t="s">
        <v>459</v>
      </c>
      <c r="E20" s="18" t="s">
        <v>460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21.875" style="0" customWidth="1"/>
    <col min="2" max="2" width="25.00390625" style="0" customWidth="1"/>
    <col min="5" max="5" width="22.75390625" style="0" customWidth="1"/>
    <col min="6" max="6" width="30.25390625" style="0" customWidth="1"/>
    <col min="11" max="11" width="13.375" style="0" customWidth="1"/>
  </cols>
  <sheetData>
    <row r="1" spans="1:15" ht="107.25" customHeight="1">
      <c r="A1" s="49" t="s">
        <v>473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3"/>
      <c r="M1" s="42"/>
      <c r="N1" s="40"/>
      <c r="O1" s="40"/>
    </row>
    <row r="2" spans="1:15" ht="13.5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43"/>
      <c r="M2" s="42"/>
      <c r="N2" s="40"/>
      <c r="O2" s="40"/>
    </row>
    <row r="3" spans="1:15" ht="15">
      <c r="A3" s="55" t="s">
        <v>0</v>
      </c>
      <c r="B3" s="57" t="s">
        <v>8</v>
      </c>
      <c r="C3" s="57" t="s">
        <v>9</v>
      </c>
      <c r="D3" s="44" t="s">
        <v>434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59" t="s">
        <v>4</v>
      </c>
      <c r="L3" s="39"/>
      <c r="M3" s="40"/>
      <c r="N3" s="40"/>
      <c r="O3" s="40"/>
    </row>
    <row r="4" spans="1:15" ht="15.75" thickBot="1">
      <c r="A4" s="56"/>
      <c r="B4" s="45"/>
      <c r="C4" s="45"/>
      <c r="D4" s="45"/>
      <c r="E4" s="45"/>
      <c r="F4" s="45"/>
      <c r="G4" s="6" t="s">
        <v>323</v>
      </c>
      <c r="H4" s="28" t="s">
        <v>324</v>
      </c>
      <c r="I4" s="45"/>
      <c r="J4" s="45"/>
      <c r="K4" s="60"/>
      <c r="L4" s="39"/>
      <c r="M4" s="40"/>
      <c r="N4" s="40"/>
      <c r="O4" s="40"/>
    </row>
    <row r="5" spans="1:15" ht="15">
      <c r="A5" s="48" t="s">
        <v>435</v>
      </c>
      <c r="B5" s="48"/>
      <c r="C5" s="48"/>
      <c r="D5" s="48"/>
      <c r="E5" s="48"/>
      <c r="F5" s="48"/>
      <c r="G5" s="48"/>
      <c r="H5" s="48"/>
      <c r="I5" s="48"/>
      <c r="J5" s="48"/>
      <c r="K5" s="4"/>
      <c r="L5" s="39"/>
      <c r="M5" s="40"/>
      <c r="N5" s="40"/>
      <c r="O5" s="40"/>
    </row>
    <row r="6" spans="1:15" ht="12.75">
      <c r="A6" s="7" t="s">
        <v>17</v>
      </c>
      <c r="B6" s="7" t="s">
        <v>18</v>
      </c>
      <c r="C6" s="7" t="s">
        <v>19</v>
      </c>
      <c r="D6" s="7" t="str">
        <f>"0,5270"</f>
        <v>0,5270</v>
      </c>
      <c r="E6" s="7" t="s">
        <v>20</v>
      </c>
      <c r="F6" s="7" t="s">
        <v>21</v>
      </c>
      <c r="G6" s="38" t="s">
        <v>470</v>
      </c>
      <c r="H6" s="35">
        <v>10</v>
      </c>
      <c r="I6" s="38" t="s">
        <v>471</v>
      </c>
      <c r="J6" s="38" t="s">
        <v>472</v>
      </c>
      <c r="K6" s="41" t="s">
        <v>29</v>
      </c>
      <c r="L6" s="39"/>
      <c r="M6" s="40"/>
      <c r="N6" s="40"/>
      <c r="O6" s="40"/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</sheetData>
  <sheetProtection/>
  <mergeCells count="12">
    <mergeCell ref="A1:K2"/>
    <mergeCell ref="G3:H3"/>
    <mergeCell ref="I3:I4"/>
    <mergeCell ref="J3:J4"/>
    <mergeCell ref="K3:K4"/>
    <mergeCell ref="A5:J5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2" bestFit="1" customWidth="1"/>
    <col min="9" max="9" width="7.875" style="4" bestFit="1" customWidth="1"/>
    <col min="10" max="10" width="7.625" style="3" bestFit="1" customWidth="1"/>
    <col min="11" max="11" width="20.75390625" style="4" bestFit="1" customWidth="1"/>
    <col min="12" max="16384" width="9.125" style="3" customWidth="1"/>
  </cols>
  <sheetData>
    <row r="1" spans="1:11" s="2" customFormat="1" ht="28.5" customHeight="1">
      <c r="A1" s="49" t="s">
        <v>490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434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435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19" t="s">
        <v>437</v>
      </c>
      <c r="B6" s="19" t="s">
        <v>438</v>
      </c>
      <c r="C6" s="19" t="s">
        <v>439</v>
      </c>
      <c r="D6" s="19" t="str">
        <f>"1,0000"</f>
        <v>1,0000</v>
      </c>
      <c r="E6" s="19" t="s">
        <v>74</v>
      </c>
      <c r="F6" s="19" t="s">
        <v>75</v>
      </c>
      <c r="G6" s="21" t="s">
        <v>440</v>
      </c>
      <c r="H6" s="29" t="s">
        <v>67</v>
      </c>
      <c r="I6" s="19" t="str">
        <f>"8525,0"</f>
        <v>8525,0</v>
      </c>
      <c r="J6" s="21" t="str">
        <f>"90,5469"</f>
        <v>90,5469</v>
      </c>
      <c r="K6" s="19" t="s">
        <v>441</v>
      </c>
    </row>
    <row r="7" spans="1:11" ht="12.75">
      <c r="A7" s="22" t="s">
        <v>443</v>
      </c>
      <c r="B7" s="22" t="s">
        <v>444</v>
      </c>
      <c r="C7" s="22" t="s">
        <v>445</v>
      </c>
      <c r="D7" s="22" t="str">
        <f>"1,0000"</f>
        <v>1,0000</v>
      </c>
      <c r="E7" s="22" t="s">
        <v>74</v>
      </c>
      <c r="F7" s="22" t="s">
        <v>75</v>
      </c>
      <c r="G7" s="24" t="s">
        <v>440</v>
      </c>
      <c r="H7" s="30" t="s">
        <v>446</v>
      </c>
      <c r="I7" s="22" t="str">
        <f>"6105,0"</f>
        <v>6105,0</v>
      </c>
      <c r="J7" s="24" t="str">
        <f>"70,4558"</f>
        <v>70,4558</v>
      </c>
      <c r="K7" s="22" t="s">
        <v>57</v>
      </c>
    </row>
    <row r="9" ht="15">
      <c r="E9" s="10" t="s">
        <v>30</v>
      </c>
    </row>
    <row r="10" ht="15">
      <c r="E10" s="10" t="s">
        <v>31</v>
      </c>
    </row>
    <row r="11" ht="15">
      <c r="E11" s="10" t="s">
        <v>32</v>
      </c>
    </row>
    <row r="12" ht="15">
      <c r="E12" s="10" t="s">
        <v>33</v>
      </c>
    </row>
    <row r="13" ht="15">
      <c r="E13" s="10" t="s">
        <v>33</v>
      </c>
    </row>
    <row r="14" ht="15">
      <c r="E14" s="10" t="s">
        <v>34</v>
      </c>
    </row>
    <row r="15" ht="15">
      <c r="E15" s="10"/>
    </row>
    <row r="17" spans="1:2" ht="18">
      <c r="A17" s="11" t="s">
        <v>35</v>
      </c>
      <c r="B17" s="11"/>
    </row>
    <row r="18" spans="1:2" ht="15">
      <c r="A18" s="12" t="s">
        <v>36</v>
      </c>
      <c r="B18" s="12"/>
    </row>
    <row r="19" spans="1:2" ht="14.25">
      <c r="A19" s="14"/>
      <c r="B19" s="15" t="s">
        <v>37</v>
      </c>
    </row>
    <row r="20" spans="1:5" ht="15">
      <c r="A20" s="17" t="s">
        <v>38</v>
      </c>
      <c r="B20" s="17" t="s">
        <v>39</v>
      </c>
      <c r="C20" s="17" t="s">
        <v>40</v>
      </c>
      <c r="D20" s="17" t="s">
        <v>41</v>
      </c>
      <c r="E20" s="17" t="s">
        <v>447</v>
      </c>
    </row>
    <row r="21" spans="1:5" ht="12.75">
      <c r="A21" s="13" t="s">
        <v>436</v>
      </c>
      <c r="B21" s="4" t="s">
        <v>43</v>
      </c>
      <c r="C21" s="4" t="s">
        <v>448</v>
      </c>
      <c r="D21" s="4" t="s">
        <v>449</v>
      </c>
      <c r="E21" s="18" t="s">
        <v>450</v>
      </c>
    </row>
    <row r="22" spans="1:5" ht="12.75">
      <c r="A22" s="13" t="s">
        <v>442</v>
      </c>
      <c r="B22" s="4" t="s">
        <v>260</v>
      </c>
      <c r="C22" s="4" t="s">
        <v>448</v>
      </c>
      <c r="D22" s="4" t="s">
        <v>451</v>
      </c>
      <c r="E22" s="18" t="s">
        <v>452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9" t="s">
        <v>489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381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431</v>
      </c>
      <c r="B6" s="7" t="s">
        <v>432</v>
      </c>
      <c r="C6" s="7" t="s">
        <v>51</v>
      </c>
      <c r="D6" s="7" t="str">
        <f>"0,6193"</f>
        <v>0,6193</v>
      </c>
      <c r="E6" s="7" t="s">
        <v>52</v>
      </c>
      <c r="F6" s="7" t="s">
        <v>21</v>
      </c>
      <c r="G6" s="8" t="s">
        <v>419</v>
      </c>
      <c r="H6" s="8" t="s">
        <v>300</v>
      </c>
      <c r="I6" s="8" t="s">
        <v>93</v>
      </c>
      <c r="J6" s="9" t="s">
        <v>303</v>
      </c>
      <c r="K6" s="7" t="str">
        <f>"75,0"</f>
        <v>75,0</v>
      </c>
      <c r="L6" s="8" t="str">
        <f>"46,8655"</f>
        <v>46,8655</v>
      </c>
      <c r="M6" s="7" t="s">
        <v>57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37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</row>
    <row r="20" spans="1:5" ht="12.75">
      <c r="A20" s="13" t="s">
        <v>430</v>
      </c>
      <c r="B20" s="4" t="s">
        <v>43</v>
      </c>
      <c r="C20" s="4" t="s">
        <v>59</v>
      </c>
      <c r="D20" s="4" t="s">
        <v>93</v>
      </c>
      <c r="E20" s="18" t="s">
        <v>433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1" sqref="A11:L11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9" t="s">
        <v>488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0</v>
      </c>
      <c r="B3" s="57" t="s">
        <v>8</v>
      </c>
      <c r="C3" s="57" t="s">
        <v>9</v>
      </c>
      <c r="D3" s="44" t="s">
        <v>11</v>
      </c>
      <c r="E3" s="44" t="s">
        <v>6</v>
      </c>
      <c r="F3" s="44" t="s">
        <v>10</v>
      </c>
      <c r="G3" s="44" t="s">
        <v>381</v>
      </c>
      <c r="H3" s="44"/>
      <c r="I3" s="44"/>
      <c r="J3" s="44"/>
      <c r="K3" s="44" t="s">
        <v>87</v>
      </c>
      <c r="L3" s="44" t="s">
        <v>5</v>
      </c>
      <c r="M3" s="46" t="s">
        <v>4</v>
      </c>
    </row>
    <row r="4" spans="1:13" s="1" customFormat="1" ht="21" customHeight="1" thickBot="1">
      <c r="A4" s="56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7"/>
    </row>
    <row r="5" spans="1:12" ht="15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2.75">
      <c r="A6" s="7" t="s">
        <v>383</v>
      </c>
      <c r="B6" s="7" t="s">
        <v>384</v>
      </c>
      <c r="C6" s="7" t="s">
        <v>385</v>
      </c>
      <c r="D6" s="7" t="str">
        <f>"0,9786"</f>
        <v>0,9786</v>
      </c>
      <c r="E6" s="7" t="s">
        <v>52</v>
      </c>
      <c r="F6" s="7" t="s">
        <v>21</v>
      </c>
      <c r="G6" s="8" t="s">
        <v>386</v>
      </c>
      <c r="H6" s="9"/>
      <c r="I6" s="9"/>
      <c r="J6" s="9"/>
      <c r="K6" s="7" t="str">
        <f>"37,5"</f>
        <v>37,5</v>
      </c>
      <c r="L6" s="8" t="str">
        <f>"37,4295"</f>
        <v>37,4295</v>
      </c>
      <c r="M6" s="7" t="s">
        <v>57</v>
      </c>
    </row>
    <row r="8" spans="1:12" ht="15">
      <c r="A8" s="58" t="s">
        <v>326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ht="12.75">
      <c r="A9" s="7" t="s">
        <v>388</v>
      </c>
      <c r="B9" s="7" t="s">
        <v>389</v>
      </c>
      <c r="C9" s="7" t="s">
        <v>390</v>
      </c>
      <c r="D9" s="7" t="str">
        <f>"0,9558"</f>
        <v>0,9558</v>
      </c>
      <c r="E9" s="7" t="s">
        <v>52</v>
      </c>
      <c r="F9" s="7" t="s">
        <v>21</v>
      </c>
      <c r="G9" s="8" t="s">
        <v>391</v>
      </c>
      <c r="H9" s="8" t="s">
        <v>392</v>
      </c>
      <c r="I9" s="8" t="s">
        <v>393</v>
      </c>
      <c r="J9" s="9"/>
      <c r="K9" s="7" t="str">
        <f>"50,0"</f>
        <v>50,0</v>
      </c>
      <c r="L9" s="8" t="str">
        <f>"56,3922"</f>
        <v>56,3922</v>
      </c>
      <c r="M9" s="7" t="s">
        <v>57</v>
      </c>
    </row>
    <row r="11" spans="1:12" ht="15">
      <c r="A11" s="58" t="s">
        <v>101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ht="12.75">
      <c r="A12" s="7" t="s">
        <v>395</v>
      </c>
      <c r="B12" s="7" t="s">
        <v>396</v>
      </c>
      <c r="C12" s="7" t="s">
        <v>397</v>
      </c>
      <c r="D12" s="7" t="str">
        <f>"0,7307"</f>
        <v>0,7307</v>
      </c>
      <c r="E12" s="7" t="s">
        <v>52</v>
      </c>
      <c r="F12" s="7" t="s">
        <v>21</v>
      </c>
      <c r="G12" s="8" t="s">
        <v>392</v>
      </c>
      <c r="H12" s="8" t="s">
        <v>398</v>
      </c>
      <c r="I12" s="9"/>
      <c r="J12" s="9"/>
      <c r="K12" s="7" t="str">
        <f>"47,5"</f>
        <v>47,5</v>
      </c>
      <c r="L12" s="8" t="str">
        <f>"34,7083"</f>
        <v>34,7083</v>
      </c>
      <c r="M12" s="7" t="s">
        <v>57</v>
      </c>
    </row>
    <row r="14" spans="1:12" ht="15">
      <c r="A14" s="58" t="s">
        <v>47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3" ht="12.75">
      <c r="A15" s="19" t="s">
        <v>400</v>
      </c>
      <c r="B15" s="19" t="s">
        <v>401</v>
      </c>
      <c r="C15" s="19" t="s">
        <v>136</v>
      </c>
      <c r="D15" s="19" t="str">
        <f>"0,6224"</f>
        <v>0,6224</v>
      </c>
      <c r="E15" s="19" t="s">
        <v>52</v>
      </c>
      <c r="F15" s="19" t="s">
        <v>21</v>
      </c>
      <c r="G15" s="20" t="s">
        <v>393</v>
      </c>
      <c r="H15" s="20" t="s">
        <v>393</v>
      </c>
      <c r="I15" s="21" t="s">
        <v>393</v>
      </c>
      <c r="J15" s="20"/>
      <c r="K15" s="19" t="str">
        <f>"50,0"</f>
        <v>50,0</v>
      </c>
      <c r="L15" s="21" t="str">
        <f>"31,7424"</f>
        <v>31,7424</v>
      </c>
      <c r="M15" s="19" t="s">
        <v>57</v>
      </c>
    </row>
    <row r="16" spans="1:13" ht="12.75">
      <c r="A16" s="25" t="s">
        <v>272</v>
      </c>
      <c r="B16" s="25" t="s">
        <v>273</v>
      </c>
      <c r="C16" s="25" t="s">
        <v>274</v>
      </c>
      <c r="D16" s="25" t="str">
        <f>"0,6287"</f>
        <v>0,6287</v>
      </c>
      <c r="E16" s="25" t="s">
        <v>52</v>
      </c>
      <c r="F16" s="25" t="s">
        <v>275</v>
      </c>
      <c r="G16" s="26" t="s">
        <v>402</v>
      </c>
      <c r="H16" s="27" t="s">
        <v>402</v>
      </c>
      <c r="I16" s="27" t="s">
        <v>403</v>
      </c>
      <c r="J16" s="26"/>
      <c r="K16" s="25" t="str">
        <f>"65,0"</f>
        <v>65,0</v>
      </c>
      <c r="L16" s="27" t="str">
        <f>"40,8655"</f>
        <v>40,8655</v>
      </c>
      <c r="M16" s="25" t="s">
        <v>68</v>
      </c>
    </row>
    <row r="17" spans="1:13" ht="12.75">
      <c r="A17" s="25" t="s">
        <v>404</v>
      </c>
      <c r="B17" s="25" t="s">
        <v>282</v>
      </c>
      <c r="C17" s="25" t="s">
        <v>283</v>
      </c>
      <c r="D17" s="25" t="str">
        <f>"0,6436"</f>
        <v>0,6436</v>
      </c>
      <c r="E17" s="25" t="s">
        <v>74</v>
      </c>
      <c r="F17" s="25" t="s">
        <v>75</v>
      </c>
      <c r="G17" s="27" t="s">
        <v>405</v>
      </c>
      <c r="H17" s="27" t="s">
        <v>406</v>
      </c>
      <c r="I17" s="26" t="s">
        <v>402</v>
      </c>
      <c r="J17" s="26"/>
      <c r="K17" s="25" t="str">
        <f>"60,0"</f>
        <v>60,0</v>
      </c>
      <c r="L17" s="27" t="str">
        <f>"38,6160"</f>
        <v>38,6160</v>
      </c>
      <c r="M17" s="25" t="s">
        <v>57</v>
      </c>
    </row>
    <row r="18" spans="1:13" ht="12.75">
      <c r="A18" s="25" t="s">
        <v>408</v>
      </c>
      <c r="B18" s="25" t="s">
        <v>409</v>
      </c>
      <c r="C18" s="25" t="s">
        <v>410</v>
      </c>
      <c r="D18" s="25" t="str">
        <f>"0,6281"</f>
        <v>0,6281</v>
      </c>
      <c r="E18" s="25" t="s">
        <v>52</v>
      </c>
      <c r="F18" s="25" t="s">
        <v>21</v>
      </c>
      <c r="G18" s="27" t="s">
        <v>393</v>
      </c>
      <c r="H18" s="27" t="s">
        <v>405</v>
      </c>
      <c r="I18" s="26" t="s">
        <v>406</v>
      </c>
      <c r="J18" s="26"/>
      <c r="K18" s="25" t="str">
        <f>"57,5"</f>
        <v>57,5</v>
      </c>
      <c r="L18" s="27" t="str">
        <f>"36,1186"</f>
        <v>36,1186</v>
      </c>
      <c r="M18" s="25" t="s">
        <v>411</v>
      </c>
    </row>
    <row r="19" spans="1:13" ht="12.75">
      <c r="A19" s="22" t="s">
        <v>412</v>
      </c>
      <c r="B19" s="22" t="s">
        <v>413</v>
      </c>
      <c r="C19" s="22" t="s">
        <v>414</v>
      </c>
      <c r="D19" s="22" t="str">
        <f>"0,6209"</f>
        <v>0,6209</v>
      </c>
      <c r="E19" s="22" t="s">
        <v>52</v>
      </c>
      <c r="F19" s="22" t="s">
        <v>21</v>
      </c>
      <c r="G19" s="23" t="s">
        <v>300</v>
      </c>
      <c r="H19" s="23" t="s">
        <v>300</v>
      </c>
      <c r="I19" s="23" t="s">
        <v>300</v>
      </c>
      <c r="J19" s="23"/>
      <c r="K19" s="22" t="str">
        <f>"0.00"</f>
        <v>0.00</v>
      </c>
      <c r="L19" s="24" t="str">
        <f>"0,0000"</f>
        <v>0,0000</v>
      </c>
      <c r="M19" s="22" t="s">
        <v>68</v>
      </c>
    </row>
    <row r="21" spans="1:12" ht="15">
      <c r="A21" s="58" t="s">
        <v>62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3" ht="12.75">
      <c r="A22" s="7" t="s">
        <v>416</v>
      </c>
      <c r="B22" s="7" t="s">
        <v>417</v>
      </c>
      <c r="C22" s="7" t="s">
        <v>418</v>
      </c>
      <c r="D22" s="7" t="str">
        <f>"0,5885"</f>
        <v>0,5885</v>
      </c>
      <c r="E22" s="7" t="s">
        <v>52</v>
      </c>
      <c r="F22" s="7" t="s">
        <v>21</v>
      </c>
      <c r="G22" s="8" t="s">
        <v>406</v>
      </c>
      <c r="H22" s="8" t="s">
        <v>402</v>
      </c>
      <c r="I22" s="9"/>
      <c r="J22" s="9"/>
      <c r="K22" s="7" t="str">
        <f>"62,5"</f>
        <v>62,5</v>
      </c>
      <c r="L22" s="8" t="str">
        <f>"38,5468"</f>
        <v>38,5468</v>
      </c>
      <c r="M22" s="7" t="s">
        <v>57</v>
      </c>
    </row>
    <row r="24" spans="1:12" ht="15">
      <c r="A24" s="58" t="s">
        <v>148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3" ht="12.75">
      <c r="A25" s="7" t="s">
        <v>213</v>
      </c>
      <c r="B25" s="7" t="s">
        <v>214</v>
      </c>
      <c r="C25" s="7" t="s">
        <v>215</v>
      </c>
      <c r="D25" s="7" t="str">
        <f>"0,5554"</f>
        <v>0,5554</v>
      </c>
      <c r="E25" s="7" t="s">
        <v>20</v>
      </c>
      <c r="F25" s="7" t="s">
        <v>75</v>
      </c>
      <c r="G25" s="8" t="s">
        <v>393</v>
      </c>
      <c r="H25" s="8" t="s">
        <v>405</v>
      </c>
      <c r="I25" s="9" t="s">
        <v>419</v>
      </c>
      <c r="J25" s="9"/>
      <c r="K25" s="7" t="str">
        <f>"57,5"</f>
        <v>57,5</v>
      </c>
      <c r="L25" s="8" t="str">
        <f>"31,9355"</f>
        <v>31,9355</v>
      </c>
      <c r="M25" s="7" t="s">
        <v>68</v>
      </c>
    </row>
    <row r="27" ht="15">
      <c r="E27" s="10" t="s">
        <v>30</v>
      </c>
    </row>
    <row r="28" ht="15">
      <c r="E28" s="10" t="s">
        <v>31</v>
      </c>
    </row>
    <row r="29" ht="15">
      <c r="E29" s="10" t="s">
        <v>32</v>
      </c>
    </row>
    <row r="30" ht="15">
      <c r="E30" s="10" t="s">
        <v>33</v>
      </c>
    </row>
    <row r="31" ht="15">
      <c r="E31" s="10" t="s">
        <v>33</v>
      </c>
    </row>
    <row r="32" ht="15">
      <c r="E32" s="10" t="s">
        <v>34</v>
      </c>
    </row>
    <row r="33" ht="15">
      <c r="E33" s="10"/>
    </row>
    <row r="35" spans="1:2" ht="18">
      <c r="A35" s="11" t="s">
        <v>35</v>
      </c>
      <c r="B35" s="11"/>
    </row>
    <row r="36" spans="1:2" ht="15">
      <c r="A36" s="12" t="s">
        <v>259</v>
      </c>
      <c r="B36" s="12"/>
    </row>
    <row r="37" spans="1:2" ht="14.25">
      <c r="A37" s="14"/>
      <c r="B37" s="15" t="s">
        <v>420</v>
      </c>
    </row>
    <row r="38" spans="1:5" ht="15">
      <c r="A38" s="17" t="s">
        <v>38</v>
      </c>
      <c r="B38" s="17" t="s">
        <v>39</v>
      </c>
      <c r="C38" s="17" t="s">
        <v>40</v>
      </c>
      <c r="D38" s="17" t="s">
        <v>41</v>
      </c>
      <c r="E38" s="17" t="s">
        <v>42</v>
      </c>
    </row>
    <row r="39" spans="1:5" ht="12.75">
      <c r="A39" s="13" t="s">
        <v>382</v>
      </c>
      <c r="B39" s="4" t="s">
        <v>181</v>
      </c>
      <c r="C39" s="4" t="s">
        <v>178</v>
      </c>
      <c r="D39" s="4" t="s">
        <v>386</v>
      </c>
      <c r="E39" s="18" t="s">
        <v>421</v>
      </c>
    </row>
    <row r="42" spans="1:2" ht="15">
      <c r="A42" s="12" t="s">
        <v>36</v>
      </c>
      <c r="B42" s="12"/>
    </row>
    <row r="43" spans="1:2" ht="14.25">
      <c r="A43" s="14"/>
      <c r="B43" s="15" t="s">
        <v>169</v>
      </c>
    </row>
    <row r="44" spans="1:5" ht="15">
      <c r="A44" s="17" t="s">
        <v>38</v>
      </c>
      <c r="B44" s="17" t="s">
        <v>39</v>
      </c>
      <c r="C44" s="17" t="s">
        <v>40</v>
      </c>
      <c r="D44" s="17" t="s">
        <v>41</v>
      </c>
      <c r="E44" s="17" t="s">
        <v>42</v>
      </c>
    </row>
    <row r="45" spans="1:5" ht="12.75">
      <c r="A45" s="13" t="s">
        <v>387</v>
      </c>
      <c r="B45" s="4" t="s">
        <v>174</v>
      </c>
      <c r="C45" s="4" t="s">
        <v>335</v>
      </c>
      <c r="D45" s="4" t="s">
        <v>393</v>
      </c>
      <c r="E45" s="18" t="s">
        <v>422</v>
      </c>
    </row>
    <row r="47" spans="1:2" ht="14.25">
      <c r="A47" s="14"/>
      <c r="B47" s="15" t="s">
        <v>180</v>
      </c>
    </row>
    <row r="48" spans="1:5" ht="15">
      <c r="A48" s="17" t="s">
        <v>38</v>
      </c>
      <c r="B48" s="17" t="s">
        <v>39</v>
      </c>
      <c r="C48" s="17" t="s">
        <v>40</v>
      </c>
      <c r="D48" s="17" t="s">
        <v>41</v>
      </c>
      <c r="E48" s="17" t="s">
        <v>42</v>
      </c>
    </row>
    <row r="49" spans="1:5" ht="12.75">
      <c r="A49" s="13" t="s">
        <v>399</v>
      </c>
      <c r="B49" s="4" t="s">
        <v>181</v>
      </c>
      <c r="C49" s="4" t="s">
        <v>59</v>
      </c>
      <c r="D49" s="4" t="s">
        <v>393</v>
      </c>
      <c r="E49" s="18" t="s">
        <v>423</v>
      </c>
    </row>
    <row r="51" spans="1:2" ht="14.25">
      <c r="A51" s="14"/>
      <c r="B51" s="15" t="s">
        <v>58</v>
      </c>
    </row>
    <row r="52" spans="1:5" ht="15">
      <c r="A52" s="17" t="s">
        <v>38</v>
      </c>
      <c r="B52" s="17" t="s">
        <v>39</v>
      </c>
      <c r="C52" s="17" t="s">
        <v>40</v>
      </c>
      <c r="D52" s="17" t="s">
        <v>41</v>
      </c>
      <c r="E52" s="17" t="s">
        <v>42</v>
      </c>
    </row>
    <row r="53" spans="1:5" ht="12.75">
      <c r="A53" s="13" t="s">
        <v>271</v>
      </c>
      <c r="B53" s="4" t="s">
        <v>58</v>
      </c>
      <c r="C53" s="4" t="s">
        <v>59</v>
      </c>
      <c r="D53" s="4" t="s">
        <v>403</v>
      </c>
      <c r="E53" s="18" t="s">
        <v>424</v>
      </c>
    </row>
    <row r="54" spans="1:5" ht="12.75">
      <c r="A54" s="13" t="s">
        <v>280</v>
      </c>
      <c r="B54" s="4" t="s">
        <v>58</v>
      </c>
      <c r="C54" s="4" t="s">
        <v>59</v>
      </c>
      <c r="D54" s="4" t="s">
        <v>406</v>
      </c>
      <c r="E54" s="18" t="s">
        <v>425</v>
      </c>
    </row>
    <row r="55" spans="1:5" ht="12.75">
      <c r="A55" s="13" t="s">
        <v>407</v>
      </c>
      <c r="B55" s="4" t="s">
        <v>58</v>
      </c>
      <c r="C55" s="4" t="s">
        <v>59</v>
      </c>
      <c r="D55" s="4" t="s">
        <v>405</v>
      </c>
      <c r="E55" s="18" t="s">
        <v>426</v>
      </c>
    </row>
    <row r="56" spans="1:5" ht="12.75">
      <c r="A56" s="13" t="s">
        <v>394</v>
      </c>
      <c r="B56" s="4" t="s">
        <v>58</v>
      </c>
      <c r="C56" s="4" t="s">
        <v>175</v>
      </c>
      <c r="D56" s="4" t="s">
        <v>398</v>
      </c>
      <c r="E56" s="18" t="s">
        <v>427</v>
      </c>
    </row>
    <row r="57" spans="1:5" ht="12.75">
      <c r="A57" s="13" t="s">
        <v>212</v>
      </c>
      <c r="B57" s="4" t="s">
        <v>58</v>
      </c>
      <c r="C57" s="4" t="s">
        <v>191</v>
      </c>
      <c r="D57" s="4" t="s">
        <v>405</v>
      </c>
      <c r="E57" s="18" t="s">
        <v>428</v>
      </c>
    </row>
    <row r="59" spans="1:2" ht="14.25">
      <c r="A59" s="14"/>
      <c r="B59" s="15" t="s">
        <v>37</v>
      </c>
    </row>
    <row r="60" spans="1:5" ht="15">
      <c r="A60" s="17" t="s">
        <v>38</v>
      </c>
      <c r="B60" s="17" t="s">
        <v>39</v>
      </c>
      <c r="C60" s="17" t="s">
        <v>40</v>
      </c>
      <c r="D60" s="17" t="s">
        <v>41</v>
      </c>
      <c r="E60" s="17" t="s">
        <v>42</v>
      </c>
    </row>
    <row r="61" spans="1:5" ht="12.75">
      <c r="A61" s="13" t="s">
        <v>415</v>
      </c>
      <c r="B61" s="4" t="s">
        <v>190</v>
      </c>
      <c r="C61" s="4" t="s">
        <v>82</v>
      </c>
      <c r="D61" s="4" t="s">
        <v>402</v>
      </c>
      <c r="E61" s="18" t="s">
        <v>429</v>
      </c>
    </row>
  </sheetData>
  <sheetProtection/>
  <mergeCells count="17">
    <mergeCell ref="A14:L14"/>
    <mergeCell ref="A21:L21"/>
    <mergeCell ref="A24:L2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4.12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9" t="s">
        <v>487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295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326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7" t="s">
        <v>375</v>
      </c>
      <c r="B6" s="7" t="s">
        <v>376</v>
      </c>
      <c r="C6" s="7" t="s">
        <v>377</v>
      </c>
      <c r="D6" s="7" t="str">
        <f>"1,0463"</f>
        <v>1,0463</v>
      </c>
      <c r="E6" s="7" t="s">
        <v>52</v>
      </c>
      <c r="F6" s="7" t="s">
        <v>21</v>
      </c>
      <c r="G6" s="8" t="s">
        <v>304</v>
      </c>
      <c r="H6" s="31" t="s">
        <v>378</v>
      </c>
      <c r="I6" s="7" t="str">
        <f>"450,0"</f>
        <v>450,0</v>
      </c>
      <c r="J6" s="8" t="str">
        <f>"470,8350"</f>
        <v>470,8350</v>
      </c>
      <c r="K6" s="7" t="s">
        <v>68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169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313</v>
      </c>
    </row>
    <row r="20" spans="1:5" ht="12.75">
      <c r="A20" s="13" t="s">
        <v>374</v>
      </c>
      <c r="B20" s="4" t="s">
        <v>334</v>
      </c>
      <c r="C20" s="4" t="s">
        <v>335</v>
      </c>
      <c r="D20" s="4" t="s">
        <v>379</v>
      </c>
      <c r="E20" s="18" t="s">
        <v>380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6.375" style="4" bestFit="1" customWidth="1"/>
    <col min="7" max="7" width="5.625" style="3" bestFit="1" customWidth="1"/>
    <col min="8" max="8" width="8.75390625" style="32" customWidth="1"/>
    <col min="9" max="9" width="7.875" style="4" bestFit="1" customWidth="1"/>
    <col min="10" max="10" width="9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49" t="s">
        <v>486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295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119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7" t="s">
        <v>339</v>
      </c>
      <c r="B6" s="7" t="s">
        <v>340</v>
      </c>
      <c r="C6" s="7" t="s">
        <v>128</v>
      </c>
      <c r="D6" s="7" t="str">
        <f>"0,8004"</f>
        <v>0,8004</v>
      </c>
      <c r="E6" s="7" t="s">
        <v>137</v>
      </c>
      <c r="F6" s="7" t="s">
        <v>138</v>
      </c>
      <c r="G6" s="8" t="s">
        <v>93</v>
      </c>
      <c r="H6" s="35" t="s">
        <v>341</v>
      </c>
      <c r="I6" s="7" t="str">
        <f>"2925,0"</f>
        <v>2925,0</v>
      </c>
      <c r="J6" s="8" t="str">
        <f>"2341,1701"</f>
        <v>2341,1701</v>
      </c>
      <c r="K6" s="7" t="s">
        <v>57</v>
      </c>
    </row>
    <row r="8" spans="1:10" ht="15">
      <c r="A8" s="58" t="s">
        <v>62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2.75">
      <c r="A9" s="7" t="s">
        <v>343</v>
      </c>
      <c r="B9" s="7" t="s">
        <v>344</v>
      </c>
      <c r="C9" s="7" t="s">
        <v>345</v>
      </c>
      <c r="D9" s="7" t="str">
        <f>"0,7185"</f>
        <v>0,7185</v>
      </c>
      <c r="E9" s="7" t="s">
        <v>52</v>
      </c>
      <c r="F9" s="7" t="s">
        <v>21</v>
      </c>
      <c r="G9" s="8" t="s">
        <v>346</v>
      </c>
      <c r="H9" s="35" t="s">
        <v>347</v>
      </c>
      <c r="I9" s="7" t="str">
        <f>"3420,0"</f>
        <v>3420,0</v>
      </c>
      <c r="J9" s="8" t="str">
        <f>"2457,2701"</f>
        <v>2457,2701</v>
      </c>
      <c r="K9" s="7" t="s">
        <v>57</v>
      </c>
    </row>
    <row r="11" spans="1:10" ht="15">
      <c r="A11" s="58" t="s">
        <v>148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1" ht="12.75">
      <c r="A12" s="19" t="s">
        <v>349</v>
      </c>
      <c r="B12" s="19" t="s">
        <v>350</v>
      </c>
      <c r="C12" s="19" t="s">
        <v>351</v>
      </c>
      <c r="D12" s="19" t="str">
        <f>"0,7178"</f>
        <v>0,7178</v>
      </c>
      <c r="E12" s="19" t="s">
        <v>52</v>
      </c>
      <c r="F12" s="19" t="s">
        <v>21</v>
      </c>
      <c r="G12" s="21" t="s">
        <v>352</v>
      </c>
      <c r="H12" s="37" t="s">
        <v>353</v>
      </c>
      <c r="I12" s="19" t="str">
        <f>"4255,0"</f>
        <v>4255,0</v>
      </c>
      <c r="J12" s="21" t="str">
        <f>"3054,2391"</f>
        <v>3054,2391</v>
      </c>
      <c r="K12" s="19" t="s">
        <v>57</v>
      </c>
    </row>
    <row r="13" spans="1:11" ht="12.75">
      <c r="A13" s="22" t="s">
        <v>355</v>
      </c>
      <c r="B13" s="22" t="s">
        <v>356</v>
      </c>
      <c r="C13" s="34" t="s">
        <v>469</v>
      </c>
      <c r="D13" s="22" t="str">
        <f>"0,6967"</f>
        <v>0,6967</v>
      </c>
      <c r="E13" s="22" t="s">
        <v>52</v>
      </c>
      <c r="F13" s="22" t="s">
        <v>21</v>
      </c>
      <c r="G13" s="24" t="s">
        <v>352</v>
      </c>
      <c r="H13" s="36" t="s">
        <v>357</v>
      </c>
      <c r="I13" s="22" t="str">
        <f>"2590,0"</f>
        <v>2590,0</v>
      </c>
      <c r="J13" s="24" t="str">
        <f>"1804,4529"</f>
        <v>1804,4529</v>
      </c>
      <c r="K13" s="22" t="s">
        <v>68</v>
      </c>
    </row>
    <row r="15" spans="1:10" ht="15">
      <c r="A15" s="58" t="s">
        <v>15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1" ht="12.75">
      <c r="A16" s="7" t="s">
        <v>359</v>
      </c>
      <c r="B16" s="7" t="s">
        <v>360</v>
      </c>
      <c r="C16" s="7" t="s">
        <v>361</v>
      </c>
      <c r="D16" s="7" t="str">
        <f>"0,7024"</f>
        <v>0,7024</v>
      </c>
      <c r="E16" s="7" t="s">
        <v>52</v>
      </c>
      <c r="F16" s="7" t="s">
        <v>21</v>
      </c>
      <c r="G16" s="8" t="s">
        <v>362</v>
      </c>
      <c r="H16" s="35" t="s">
        <v>311</v>
      </c>
      <c r="I16" s="7" t="str">
        <f>"2362,5"</f>
        <v>2362,5</v>
      </c>
      <c r="J16" s="8" t="str">
        <f>"1659,4201"</f>
        <v>1659,4201</v>
      </c>
      <c r="K16" s="7" t="s">
        <v>363</v>
      </c>
    </row>
    <row r="18" ht="15">
      <c r="E18" s="10" t="s">
        <v>30</v>
      </c>
    </row>
    <row r="19" ht="15">
      <c r="E19" s="10" t="s">
        <v>31</v>
      </c>
    </row>
    <row r="20" ht="15">
      <c r="E20" s="10" t="s">
        <v>32</v>
      </c>
    </row>
    <row r="21" ht="15">
      <c r="E21" s="10" t="s">
        <v>33</v>
      </c>
    </row>
    <row r="22" ht="15">
      <c r="E22" s="10" t="s">
        <v>33</v>
      </c>
    </row>
    <row r="23" ht="15">
      <c r="E23" s="10" t="s">
        <v>34</v>
      </c>
    </row>
    <row r="24" ht="15">
      <c r="E24" s="10"/>
    </row>
    <row r="26" spans="1:2" ht="18">
      <c r="A26" s="11" t="s">
        <v>35</v>
      </c>
      <c r="B26" s="11"/>
    </row>
    <row r="27" spans="1:2" ht="15">
      <c r="A27" s="12" t="s">
        <v>36</v>
      </c>
      <c r="B27" s="12"/>
    </row>
    <row r="28" spans="1:2" ht="14.25">
      <c r="A28" s="14"/>
      <c r="B28" s="15" t="s">
        <v>58</v>
      </c>
    </row>
    <row r="29" spans="1:5" ht="15">
      <c r="A29" s="17" t="s">
        <v>38</v>
      </c>
      <c r="B29" s="17" t="s">
        <v>39</v>
      </c>
      <c r="C29" s="17" t="s">
        <v>40</v>
      </c>
      <c r="D29" s="17" t="s">
        <v>41</v>
      </c>
      <c r="E29" s="17" t="s">
        <v>313</v>
      </c>
    </row>
    <row r="30" spans="1:5" ht="12.75">
      <c r="A30" s="13" t="s">
        <v>348</v>
      </c>
      <c r="B30" s="4" t="s">
        <v>58</v>
      </c>
      <c r="C30" s="4" t="s">
        <v>191</v>
      </c>
      <c r="D30" s="4" t="s">
        <v>364</v>
      </c>
      <c r="E30" s="18" t="s">
        <v>365</v>
      </c>
    </row>
    <row r="31" spans="1:5" ht="12.75">
      <c r="A31" s="13" t="s">
        <v>342</v>
      </c>
      <c r="B31" s="4" t="s">
        <v>58</v>
      </c>
      <c r="C31" s="4" t="s">
        <v>82</v>
      </c>
      <c r="D31" s="4" t="s">
        <v>366</v>
      </c>
      <c r="E31" s="18" t="s">
        <v>367</v>
      </c>
    </row>
    <row r="32" spans="1:5" ht="12.75">
      <c r="A32" s="13" t="s">
        <v>338</v>
      </c>
      <c r="B32" s="4" t="s">
        <v>58</v>
      </c>
      <c r="C32" s="4" t="s">
        <v>171</v>
      </c>
      <c r="D32" s="4" t="s">
        <v>368</v>
      </c>
      <c r="E32" s="18" t="s">
        <v>369</v>
      </c>
    </row>
    <row r="33" spans="1:5" ht="12.75">
      <c r="A33" s="13" t="s">
        <v>354</v>
      </c>
      <c r="B33" s="4" t="s">
        <v>58</v>
      </c>
      <c r="C33" s="4" t="s">
        <v>191</v>
      </c>
      <c r="D33" s="4" t="s">
        <v>370</v>
      </c>
      <c r="E33" s="18" t="s">
        <v>371</v>
      </c>
    </row>
    <row r="34" spans="1:5" ht="12.75">
      <c r="A34" s="13" t="s">
        <v>358</v>
      </c>
      <c r="B34" s="4" t="s">
        <v>58</v>
      </c>
      <c r="C34" s="4" t="s">
        <v>44</v>
      </c>
      <c r="D34" s="4" t="s">
        <v>372</v>
      </c>
      <c r="E34" s="18" t="s">
        <v>373</v>
      </c>
    </row>
  </sheetData>
  <sheetProtection/>
  <mergeCells count="15">
    <mergeCell ref="A15:J15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9.625" style="3" bestFit="1" customWidth="1"/>
    <col min="11" max="11" width="14.625" style="4" bestFit="1" customWidth="1"/>
    <col min="12" max="16384" width="9.125" style="3" customWidth="1"/>
  </cols>
  <sheetData>
    <row r="1" spans="1:11" s="2" customFormat="1" ht="28.5" customHeight="1">
      <c r="A1" s="49" t="s">
        <v>485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295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326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7" t="s">
        <v>328</v>
      </c>
      <c r="B6" s="7" t="s">
        <v>329</v>
      </c>
      <c r="C6" s="7" t="s">
        <v>330</v>
      </c>
      <c r="D6" s="7" t="str">
        <f>"1,9331"</f>
        <v>1,9331</v>
      </c>
      <c r="E6" s="7" t="s">
        <v>74</v>
      </c>
      <c r="F6" s="7" t="s">
        <v>75</v>
      </c>
      <c r="G6" s="8" t="s">
        <v>331</v>
      </c>
      <c r="H6" s="31" t="s">
        <v>332</v>
      </c>
      <c r="I6" s="7" t="str">
        <f>"1230,0"</f>
        <v>1230,0</v>
      </c>
      <c r="J6" s="8" t="str">
        <f>"2377,7130"</f>
        <v>2377,7130</v>
      </c>
      <c r="K6" s="7" t="s">
        <v>333</v>
      </c>
    </row>
    <row r="8" ht="15">
      <c r="E8" s="10" t="s">
        <v>30</v>
      </c>
    </row>
    <row r="9" ht="15">
      <c r="E9" s="10" t="s">
        <v>31</v>
      </c>
    </row>
    <row r="10" ht="15">
      <c r="E10" s="10" t="s">
        <v>32</v>
      </c>
    </row>
    <row r="11" ht="15">
      <c r="E11" s="10" t="s">
        <v>33</v>
      </c>
    </row>
    <row r="12" ht="15">
      <c r="E12" s="10" t="s">
        <v>33</v>
      </c>
    </row>
    <row r="13" ht="15">
      <c r="E13" s="10" t="s">
        <v>34</v>
      </c>
    </row>
    <row r="14" ht="15">
      <c r="E14" s="10"/>
    </row>
    <row r="16" spans="1:2" ht="18">
      <c r="A16" s="11" t="s">
        <v>35</v>
      </c>
      <c r="B16" s="11"/>
    </row>
    <row r="17" spans="1:2" ht="15">
      <c r="A17" s="12" t="s">
        <v>36</v>
      </c>
      <c r="B17" s="12"/>
    </row>
    <row r="18" spans="1:2" ht="14.25">
      <c r="A18" s="14"/>
      <c r="B18" s="15" t="s">
        <v>169</v>
      </c>
    </row>
    <row r="19" spans="1:5" ht="15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313</v>
      </c>
    </row>
    <row r="20" spans="1:5" ht="12.75">
      <c r="A20" s="13" t="s">
        <v>327</v>
      </c>
      <c r="B20" s="4" t="s">
        <v>334</v>
      </c>
      <c r="C20" s="4" t="s">
        <v>335</v>
      </c>
      <c r="D20" s="4" t="s">
        <v>336</v>
      </c>
      <c r="E20" s="18" t="s">
        <v>337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4.625" style="32" bestFit="1" customWidth="1"/>
    <col min="9" max="9" width="7.875" style="4" bestFit="1" customWidth="1"/>
    <col min="10" max="10" width="9.625" style="3" bestFit="1" customWidth="1"/>
    <col min="11" max="11" width="17.875" style="4" bestFit="1" customWidth="1"/>
    <col min="12" max="16384" width="9.125" style="3" customWidth="1"/>
  </cols>
  <sheetData>
    <row r="1" spans="1:11" s="2" customFormat="1" ht="28.5" customHeight="1">
      <c r="A1" s="49" t="s">
        <v>484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1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55" t="s">
        <v>0</v>
      </c>
      <c r="B3" s="57" t="s">
        <v>8</v>
      </c>
      <c r="C3" s="57" t="s">
        <v>9</v>
      </c>
      <c r="D3" s="44" t="s">
        <v>295</v>
      </c>
      <c r="E3" s="44" t="s">
        <v>6</v>
      </c>
      <c r="F3" s="44" t="s">
        <v>10</v>
      </c>
      <c r="G3" s="44" t="s">
        <v>322</v>
      </c>
      <c r="H3" s="44"/>
      <c r="I3" s="44" t="s">
        <v>325</v>
      </c>
      <c r="J3" s="44" t="s">
        <v>5</v>
      </c>
      <c r="K3" s="46" t="s">
        <v>4</v>
      </c>
    </row>
    <row r="4" spans="1:11" s="1" customFormat="1" ht="21" customHeight="1" thickBot="1">
      <c r="A4" s="56"/>
      <c r="B4" s="45"/>
      <c r="C4" s="45"/>
      <c r="D4" s="45"/>
      <c r="E4" s="45"/>
      <c r="F4" s="45"/>
      <c r="G4" s="5" t="s">
        <v>323</v>
      </c>
      <c r="H4" s="28" t="s">
        <v>324</v>
      </c>
      <c r="I4" s="45"/>
      <c r="J4" s="45"/>
      <c r="K4" s="47"/>
    </row>
    <row r="5" spans="1:10" ht="15">
      <c r="A5" s="48" t="s">
        <v>119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2.75">
      <c r="A6" s="19" t="s">
        <v>297</v>
      </c>
      <c r="B6" s="19" t="s">
        <v>298</v>
      </c>
      <c r="C6" s="19" t="s">
        <v>299</v>
      </c>
      <c r="D6" s="19" t="str">
        <f>"0,8221"</f>
        <v>0,8221</v>
      </c>
      <c r="E6" s="19" t="s">
        <v>52</v>
      </c>
      <c r="F6" s="19" t="s">
        <v>21</v>
      </c>
      <c r="G6" s="21" t="s">
        <v>300</v>
      </c>
      <c r="H6" s="29" t="s">
        <v>301</v>
      </c>
      <c r="I6" s="19" t="str">
        <f>"2247,5"</f>
        <v>2247,5</v>
      </c>
      <c r="J6" s="21" t="str">
        <f>"1847,6697"</f>
        <v>1847,6697</v>
      </c>
      <c r="K6" s="19" t="s">
        <v>68</v>
      </c>
    </row>
    <row r="7" spans="1:11" ht="12.75">
      <c r="A7" s="22" t="s">
        <v>302</v>
      </c>
      <c r="B7" s="22" t="s">
        <v>298</v>
      </c>
      <c r="C7" s="22" t="s">
        <v>299</v>
      </c>
      <c r="D7" s="22" t="str">
        <f>"0,8221"</f>
        <v>0,8221</v>
      </c>
      <c r="E7" s="22" t="s">
        <v>52</v>
      </c>
      <c r="F7" s="22" t="s">
        <v>21</v>
      </c>
      <c r="G7" s="24" t="s">
        <v>300</v>
      </c>
      <c r="H7" s="30"/>
      <c r="I7" s="22" t="str">
        <f>"0.00"</f>
        <v>0.00</v>
      </c>
      <c r="J7" s="24" t="str">
        <f>"0,0000"</f>
        <v>0,0000</v>
      </c>
      <c r="K7" s="22" t="s">
        <v>68</v>
      </c>
    </row>
    <row r="9" spans="1:10" ht="15">
      <c r="A9" s="58" t="s">
        <v>47</v>
      </c>
      <c r="B9" s="58"/>
      <c r="C9" s="58"/>
      <c r="D9" s="58"/>
      <c r="E9" s="58"/>
      <c r="F9" s="58"/>
      <c r="G9" s="58"/>
      <c r="H9" s="58"/>
      <c r="I9" s="58"/>
      <c r="J9" s="58"/>
    </row>
    <row r="10" spans="1:11" ht="12.75">
      <c r="A10" s="7" t="s">
        <v>141</v>
      </c>
      <c r="B10" s="7" t="s">
        <v>142</v>
      </c>
      <c r="C10" s="7" t="s">
        <v>143</v>
      </c>
      <c r="D10" s="7" t="str">
        <f>"0,8052"</f>
        <v>0,8052</v>
      </c>
      <c r="E10" s="7" t="s">
        <v>20</v>
      </c>
      <c r="F10" s="7" t="s">
        <v>21</v>
      </c>
      <c r="G10" s="8" t="s">
        <v>303</v>
      </c>
      <c r="H10" s="31" t="s">
        <v>304</v>
      </c>
      <c r="I10" s="7" t="str">
        <f>"1937,5"</f>
        <v>1937,5</v>
      </c>
      <c r="J10" s="8" t="str">
        <f>"1560,0750"</f>
        <v>1560,0750</v>
      </c>
      <c r="K10" s="7" t="s">
        <v>144</v>
      </c>
    </row>
    <row r="12" spans="1:10" ht="15">
      <c r="A12" s="58" t="s">
        <v>148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1" ht="12.75">
      <c r="A13" s="7" t="s">
        <v>306</v>
      </c>
      <c r="B13" s="7" t="s">
        <v>307</v>
      </c>
      <c r="C13" s="7" t="s">
        <v>308</v>
      </c>
      <c r="D13" s="7" t="str">
        <f>"0,7071"</f>
        <v>0,7071</v>
      </c>
      <c r="E13" s="7" t="s">
        <v>52</v>
      </c>
      <c r="F13" s="7" t="s">
        <v>309</v>
      </c>
      <c r="G13" s="8" t="s">
        <v>106</v>
      </c>
      <c r="H13" s="31" t="s">
        <v>310</v>
      </c>
      <c r="I13" s="7" t="str">
        <f>"3230,0"</f>
        <v>3230,0</v>
      </c>
      <c r="J13" s="8" t="str">
        <f>"2283,9329"</f>
        <v>2283,9329</v>
      </c>
      <c r="K13" s="7" t="s">
        <v>68</v>
      </c>
    </row>
    <row r="15" spans="1:10" ht="15">
      <c r="A15" s="58" t="s">
        <v>69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1" ht="12.75">
      <c r="A16" s="7" t="s">
        <v>71</v>
      </c>
      <c r="B16" s="7" t="s">
        <v>72</v>
      </c>
      <c r="C16" s="7" t="s">
        <v>73</v>
      </c>
      <c r="D16" s="7" t="str">
        <f>"0,6478"</f>
        <v>0,6478</v>
      </c>
      <c r="E16" s="7" t="s">
        <v>74</v>
      </c>
      <c r="F16" s="7" t="s">
        <v>75</v>
      </c>
      <c r="G16" s="8" t="s">
        <v>99</v>
      </c>
      <c r="H16" s="31" t="s">
        <v>311</v>
      </c>
      <c r="I16" s="7" t="str">
        <f>"2310,0"</f>
        <v>2310,0</v>
      </c>
      <c r="J16" s="8" t="str">
        <f>"1496,4181"</f>
        <v>1496,4181</v>
      </c>
      <c r="K16" s="7" t="s">
        <v>312</v>
      </c>
    </row>
    <row r="18" ht="15">
      <c r="E18" s="10" t="s">
        <v>30</v>
      </c>
    </row>
    <row r="19" ht="15">
      <c r="E19" s="10" t="s">
        <v>31</v>
      </c>
    </row>
    <row r="20" ht="15">
      <c r="E20" s="10" t="s">
        <v>32</v>
      </c>
    </row>
    <row r="21" ht="15">
      <c r="E21" s="10" t="s">
        <v>33</v>
      </c>
    </row>
    <row r="22" ht="15">
      <c r="E22" s="10" t="s">
        <v>33</v>
      </c>
    </row>
    <row r="23" ht="15">
      <c r="E23" s="10" t="s">
        <v>34</v>
      </c>
    </row>
    <row r="24" ht="15">
      <c r="E24" s="10"/>
    </row>
    <row r="26" spans="1:2" ht="18">
      <c r="A26" s="11" t="s">
        <v>35</v>
      </c>
      <c r="B26" s="11"/>
    </row>
    <row r="27" spans="1:2" ht="15">
      <c r="A27" s="12" t="s">
        <v>36</v>
      </c>
      <c r="B27" s="12"/>
    </row>
    <row r="28" spans="1:2" ht="14.25">
      <c r="A28" s="14"/>
      <c r="B28" s="15" t="s">
        <v>58</v>
      </c>
    </row>
    <row r="29" spans="1:5" ht="15">
      <c r="A29" s="17" t="s">
        <v>38</v>
      </c>
      <c r="B29" s="17" t="s">
        <v>39</v>
      </c>
      <c r="C29" s="17" t="s">
        <v>40</v>
      </c>
      <c r="D29" s="17" t="s">
        <v>41</v>
      </c>
      <c r="E29" s="17" t="s">
        <v>313</v>
      </c>
    </row>
    <row r="30" spans="1:5" ht="12.75">
      <c r="A30" s="13" t="s">
        <v>305</v>
      </c>
      <c r="B30" s="4" t="s">
        <v>58</v>
      </c>
      <c r="C30" s="4" t="s">
        <v>191</v>
      </c>
      <c r="D30" s="4" t="s">
        <v>314</v>
      </c>
      <c r="E30" s="18" t="s">
        <v>315</v>
      </c>
    </row>
    <row r="31" spans="1:5" ht="12.75">
      <c r="A31" s="13" t="s">
        <v>296</v>
      </c>
      <c r="B31" s="4" t="s">
        <v>58</v>
      </c>
      <c r="C31" s="4" t="s">
        <v>171</v>
      </c>
      <c r="D31" s="4" t="s">
        <v>316</v>
      </c>
      <c r="E31" s="18" t="s">
        <v>317</v>
      </c>
    </row>
    <row r="32" spans="1:5" ht="12.75">
      <c r="A32" s="13" t="s">
        <v>70</v>
      </c>
      <c r="B32" s="4" t="s">
        <v>58</v>
      </c>
      <c r="C32" s="4" t="s">
        <v>84</v>
      </c>
      <c r="D32" s="4" t="s">
        <v>318</v>
      </c>
      <c r="E32" s="18" t="s">
        <v>319</v>
      </c>
    </row>
    <row r="34" spans="1:2" ht="14.25">
      <c r="A34" s="14"/>
      <c r="B34" s="15" t="s">
        <v>37</v>
      </c>
    </row>
    <row r="35" spans="1:5" ht="15">
      <c r="A35" s="17" t="s">
        <v>38</v>
      </c>
      <c r="B35" s="17" t="s">
        <v>39</v>
      </c>
      <c r="C35" s="17" t="s">
        <v>40</v>
      </c>
      <c r="D35" s="17" t="s">
        <v>41</v>
      </c>
      <c r="E35" s="17" t="s">
        <v>313</v>
      </c>
    </row>
    <row r="36" spans="1:5" ht="12.75">
      <c r="A36" s="13" t="s">
        <v>140</v>
      </c>
      <c r="B36" s="4" t="s">
        <v>188</v>
      </c>
      <c r="C36" s="4" t="s">
        <v>59</v>
      </c>
      <c r="D36" s="4" t="s">
        <v>320</v>
      </c>
      <c r="E36" s="18" t="s">
        <v>321</v>
      </c>
    </row>
  </sheetData>
  <sheetProtection/>
  <mergeCells count="15">
    <mergeCell ref="A15:J15"/>
    <mergeCell ref="I3:I4"/>
    <mergeCell ref="J3:J4"/>
    <mergeCell ref="K3:K4"/>
    <mergeCell ref="A5:J5"/>
    <mergeCell ref="A9:J9"/>
    <mergeCell ref="A12:J12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2019-08-17T18:59:08Z</dcterms:modified>
  <cp:category/>
  <cp:version/>
  <cp:contentType/>
  <cp:contentStatus/>
</cp:coreProperties>
</file>